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利根商\弓道部\ﾌﾟﾛ編成\部員登録\H31\"/>
    </mc:Choice>
  </mc:AlternateContent>
  <bookViews>
    <workbookView xWindow="-105" yWindow="-90" windowWidth="20715" windowHeight="11745" tabRatio="877"/>
  </bookViews>
  <sheets>
    <sheet name="説" sheetId="56" r:id="rId1"/>
    <sheet name="名" sheetId="38" r:id="rId2"/>
    <sheet name="立男" sheetId="25" r:id="rId3"/>
    <sheet name="立女" sheetId="26" r:id="rId4"/>
    <sheet name="日" sheetId="29" r:id="rId5"/>
    <sheet name="登" sheetId="2" r:id="rId6"/>
    <sheet name="春男" sheetId="10" r:id="rId7"/>
    <sheet name="春女" sheetId="58" r:id="rId8"/>
    <sheet name="総男" sheetId="46" r:id="rId9"/>
    <sheet name="総女" sheetId="47" r:id="rId10"/>
    <sheet name="ｲﾝ男" sheetId="15" r:id="rId11"/>
    <sheet name="ｲﾝ女" sheetId="61" r:id="rId12"/>
    <sheet name="遠男" sheetId="32" r:id="rId13"/>
    <sheet name="遠女" sheetId="62" r:id="rId14"/>
    <sheet name="個男" sheetId="23" r:id="rId15"/>
    <sheet name="個女" sheetId="63" r:id="rId16"/>
    <sheet name="地男" sheetId="36" r:id="rId17"/>
    <sheet name="地女" sheetId="64" r:id="rId18"/>
    <sheet name="西男" sheetId="66" r:id="rId19"/>
    <sheet name="西女" sheetId="67" r:id="rId20"/>
    <sheet name="新男" sheetId="21" r:id="rId21"/>
    <sheet name="新女" sheetId="68" r:id="rId22"/>
    <sheet name="東男" sheetId="19" r:id="rId23"/>
    <sheet name="東女" sheetId="70" r:id="rId24"/>
    <sheet name="→強" sheetId="44" r:id="rId25"/>
    <sheet name="1" sheetId="45" r:id="rId26"/>
    <sheet name="近" sheetId="50" r:id="rId27"/>
    <sheet name="春" sheetId="51" r:id="rId28"/>
    <sheet name="育" sheetId="48" r:id="rId29"/>
    <sheet name="別" sheetId="52" r:id="rId30"/>
    <sheet name="申" sheetId="39" r:id="rId31"/>
  </sheets>
  <definedNames>
    <definedName name="_xlnm.Print_Area" localSheetId="25">'1'!$A$1:$J$58</definedName>
    <definedName name="_xlnm.Print_Area" localSheetId="11">ｲﾝ女!$A$1:$I$130</definedName>
    <definedName name="_xlnm.Print_Area" localSheetId="10">ｲﾝ男!$A$1:$I$130</definedName>
    <definedName name="_xlnm.Print_Area" localSheetId="28">育!$A$1:$J$57</definedName>
    <definedName name="_xlnm.Print_Area" localSheetId="13">遠女!$A$1:$I$130</definedName>
    <definedName name="_xlnm.Print_Area" localSheetId="12">遠男!$A$1:$I$130</definedName>
    <definedName name="_xlnm.Print_Area" localSheetId="26">近!$A$1:$J$59</definedName>
    <definedName name="_xlnm.Print_Area" localSheetId="15">個女!$A$1:$I$136</definedName>
    <definedName name="_xlnm.Print_Area" localSheetId="14">個男!$A$1:$I$136</definedName>
    <definedName name="_xlnm.Print_Area" localSheetId="27">春!$A$1:$J$58</definedName>
    <definedName name="_xlnm.Print_Area" localSheetId="7">春女!$A$1:$I$134</definedName>
    <definedName name="_xlnm.Print_Area" localSheetId="6">春男!$A$1:$I$134</definedName>
    <definedName name="_xlnm.Print_Area" localSheetId="21">新女!$A$1:$I$130</definedName>
    <definedName name="_xlnm.Print_Area" localSheetId="20">新男!$A$1:$I$130</definedName>
    <definedName name="_xlnm.Print_Area" localSheetId="30">申!$A$1:$L$85</definedName>
    <definedName name="_xlnm.Print_Area" localSheetId="19">西女!$A$1:$J$128</definedName>
    <definedName name="_xlnm.Print_Area" localSheetId="18">西男!$A$1:$J$128</definedName>
    <definedName name="_xlnm.Print_Area" localSheetId="9">総女!$A$1:$I$41</definedName>
    <definedName name="_xlnm.Print_Area" localSheetId="8">総男!$A$1:$I$41</definedName>
    <definedName name="_xlnm.Print_Area" localSheetId="17">地女!$A$1:$J$132</definedName>
    <definedName name="_xlnm.Print_Area" localSheetId="16">地男!$A$1:$J$132</definedName>
    <definedName name="_xlnm.Print_Area" localSheetId="23">東女!$A$1:$I$130</definedName>
    <definedName name="_xlnm.Print_Area" localSheetId="22">東男!$A$1:$I$130</definedName>
    <definedName name="_xlnm.Print_Area" localSheetId="29">別!$A$1:$J$57</definedName>
    <definedName name="_xlnm.Print_Titles" localSheetId="5">登!$1:$3</definedName>
  </definedNames>
  <calcPr calcId="152511"/>
</workbook>
</file>

<file path=xl/calcChain.xml><?xml version="1.0" encoding="utf-8"?>
<calcChain xmlns="http://schemas.openxmlformats.org/spreadsheetml/2006/main">
  <c r="F61" i="39" l="1"/>
  <c r="F62" i="39"/>
  <c r="F63" i="39"/>
  <c r="F64" i="39"/>
  <c r="F65" i="39"/>
  <c r="F66" i="39"/>
  <c r="F67" i="39"/>
  <c r="F68" i="39"/>
  <c r="F69" i="39"/>
  <c r="F70" i="39"/>
  <c r="F71" i="39"/>
  <c r="F72" i="39"/>
  <c r="F73" i="39"/>
  <c r="F74" i="39"/>
  <c r="F75" i="39"/>
  <c r="F76" i="39"/>
  <c r="F77" i="39"/>
  <c r="F78" i="39"/>
  <c r="F79" i="39"/>
  <c r="F80" i="39"/>
  <c r="F81" i="39"/>
  <c r="F82" i="39"/>
  <c r="F83" i="39"/>
  <c r="F84" i="39"/>
  <c r="K84" i="39"/>
  <c r="J84" i="39"/>
  <c r="I84" i="39"/>
  <c r="K83" i="39"/>
  <c r="J83" i="39"/>
  <c r="I83" i="39"/>
  <c r="K82" i="39"/>
  <c r="J82" i="39"/>
  <c r="I82" i="39"/>
  <c r="K81" i="39"/>
  <c r="J81" i="39"/>
  <c r="I81" i="39"/>
  <c r="K80" i="39"/>
  <c r="J80" i="39"/>
  <c r="I80" i="39"/>
  <c r="K79" i="39"/>
  <c r="J79" i="39"/>
  <c r="I79" i="39"/>
  <c r="K78" i="39"/>
  <c r="J78" i="39"/>
  <c r="I78" i="39"/>
  <c r="K77" i="39"/>
  <c r="J77" i="39"/>
  <c r="I77" i="39"/>
  <c r="K76" i="39"/>
  <c r="J76" i="39"/>
  <c r="I76" i="39"/>
  <c r="K75" i="39"/>
  <c r="J75" i="39"/>
  <c r="I75" i="39"/>
  <c r="K74" i="39"/>
  <c r="J74" i="39"/>
  <c r="I74" i="39"/>
  <c r="K73" i="39"/>
  <c r="J73" i="39"/>
  <c r="I73" i="39"/>
  <c r="K72" i="39"/>
  <c r="J72" i="39"/>
  <c r="I72" i="39"/>
  <c r="K71" i="39"/>
  <c r="J71" i="39"/>
  <c r="I71" i="39"/>
  <c r="K70" i="39"/>
  <c r="J70" i="39"/>
  <c r="I70" i="39"/>
  <c r="K69" i="39"/>
  <c r="J69" i="39"/>
  <c r="I69" i="39"/>
  <c r="K68" i="39"/>
  <c r="J68" i="39"/>
  <c r="I68" i="39"/>
  <c r="K67" i="39"/>
  <c r="J67" i="39"/>
  <c r="I67" i="39"/>
  <c r="K66" i="39"/>
  <c r="J66" i="39"/>
  <c r="I66" i="39"/>
  <c r="K65" i="39"/>
  <c r="J65" i="39"/>
  <c r="I65" i="39"/>
  <c r="K64" i="39"/>
  <c r="J64" i="39"/>
  <c r="I64" i="39"/>
  <c r="K63" i="39"/>
  <c r="J63" i="39"/>
  <c r="I63" i="39"/>
  <c r="K62" i="39"/>
  <c r="J62" i="39"/>
  <c r="I62" i="39"/>
  <c r="K61" i="39"/>
  <c r="J61" i="39"/>
  <c r="I61" i="39"/>
  <c r="K60" i="39"/>
  <c r="F57" i="51"/>
  <c r="F56" i="51"/>
  <c r="F55" i="51"/>
  <c r="F54" i="51"/>
  <c r="F53" i="51"/>
  <c r="F52" i="51"/>
  <c r="F51" i="51"/>
  <c r="F50" i="51"/>
  <c r="F49" i="51"/>
  <c r="F48" i="51"/>
  <c r="F47" i="51"/>
  <c r="F46" i="51"/>
  <c r="F45" i="51"/>
  <c r="F44" i="51"/>
  <c r="F43" i="51"/>
  <c r="F42" i="51"/>
  <c r="F41" i="51"/>
  <c r="F40" i="51"/>
  <c r="F39" i="51"/>
  <c r="F38" i="51"/>
  <c r="F37" i="51"/>
  <c r="F36" i="51"/>
  <c r="F35" i="51"/>
  <c r="F34" i="51"/>
  <c r="F33" i="51"/>
  <c r="F32" i="51"/>
  <c r="F31" i="51"/>
  <c r="F30" i="51"/>
  <c r="F29" i="51"/>
  <c r="F28" i="51"/>
  <c r="F27" i="51"/>
  <c r="F26" i="51"/>
  <c r="F25" i="51"/>
  <c r="F24" i="51"/>
  <c r="F23" i="51"/>
  <c r="F22" i="51"/>
  <c r="F21" i="51"/>
  <c r="F20" i="51"/>
  <c r="F19" i="51"/>
  <c r="F18" i="51"/>
  <c r="F17" i="51"/>
  <c r="F16" i="51"/>
  <c r="F15" i="51"/>
  <c r="F14" i="51"/>
  <c r="F13" i="51"/>
  <c r="I53" i="51"/>
  <c r="H53" i="51"/>
  <c r="G53" i="51"/>
  <c r="C53" i="51"/>
  <c r="F31" i="45"/>
  <c r="F15" i="45"/>
  <c r="F16" i="45"/>
  <c r="F17" i="45"/>
  <c r="F18" i="45"/>
  <c r="F19" i="45"/>
  <c r="F20" i="45"/>
  <c r="F21" i="45"/>
  <c r="F22" i="45"/>
  <c r="F23" i="45"/>
  <c r="F24" i="45"/>
  <c r="F25" i="45"/>
  <c r="F26" i="45"/>
  <c r="F27" i="45"/>
  <c r="F28" i="45"/>
  <c r="F29" i="45"/>
  <c r="F30"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14" i="45"/>
  <c r="F129" i="70"/>
  <c r="F126" i="70"/>
  <c r="E123" i="70"/>
  <c r="B129" i="70"/>
  <c r="B126" i="70"/>
  <c r="E58" i="70"/>
  <c r="E123" i="19"/>
  <c r="F129" i="19"/>
  <c r="F126" i="19"/>
  <c r="B129" i="19"/>
  <c r="B126" i="19"/>
  <c r="B61" i="19"/>
  <c r="E58" i="19"/>
  <c r="B64" i="68"/>
  <c r="E58" i="68"/>
  <c r="B64" i="21"/>
  <c r="B61" i="21"/>
  <c r="E58" i="21"/>
  <c r="E59" i="64"/>
  <c r="B65" i="64"/>
  <c r="B62" i="64"/>
  <c r="E59" i="36"/>
  <c r="B67" i="63"/>
  <c r="B61" i="32"/>
  <c r="E58" i="61"/>
  <c r="B129" i="61"/>
  <c r="B126" i="61"/>
  <c r="B61" i="15"/>
  <c r="B129" i="15"/>
  <c r="B126" i="15"/>
  <c r="B63" i="58"/>
  <c r="B130" i="58" s="1"/>
  <c r="B133" i="58"/>
  <c r="F130" i="10"/>
  <c r="B130" i="10"/>
  <c r="B133" i="10"/>
  <c r="E58" i="15"/>
  <c r="E60" i="10"/>
  <c r="B63" i="10"/>
  <c r="B64" i="63"/>
  <c r="C61" i="39" l="1"/>
  <c r="C62" i="39"/>
  <c r="C63" i="39"/>
  <c r="C64" i="39"/>
  <c r="C65" i="39"/>
  <c r="C66" i="39"/>
  <c r="C67" i="39"/>
  <c r="C68" i="39"/>
  <c r="C69" i="39"/>
  <c r="C70" i="39"/>
  <c r="C71" i="39"/>
  <c r="C72" i="39"/>
  <c r="C73" i="39"/>
  <c r="C74" i="39"/>
  <c r="C75" i="39"/>
  <c r="C76" i="39"/>
  <c r="C77" i="39"/>
  <c r="C78" i="39"/>
  <c r="C79" i="39"/>
  <c r="C80" i="39"/>
  <c r="C81" i="39"/>
  <c r="C82" i="39"/>
  <c r="C83" i="39"/>
  <c r="C84" i="39"/>
  <c r="C60" i="39"/>
  <c r="F35" i="52" l="1"/>
  <c r="F19" i="52"/>
  <c r="F20" i="52"/>
  <c r="F21" i="52"/>
  <c r="F22" i="52"/>
  <c r="F23" i="52"/>
  <c r="F18" i="52"/>
  <c r="I35" i="52" l="1"/>
  <c r="I34" i="52"/>
  <c r="I33" i="52"/>
  <c r="I32" i="52"/>
  <c r="I31" i="52"/>
  <c r="I30" i="52"/>
  <c r="I29" i="52"/>
  <c r="I28" i="52"/>
  <c r="I27" i="52"/>
  <c r="I26" i="52"/>
  <c r="I25" i="52"/>
  <c r="I24" i="52"/>
  <c r="I23" i="52"/>
  <c r="I22" i="52"/>
  <c r="I21" i="52"/>
  <c r="I20" i="52"/>
  <c r="I19" i="52"/>
  <c r="I18" i="52"/>
  <c r="I17" i="52"/>
  <c r="I16" i="52"/>
  <c r="I15" i="52"/>
  <c r="I14" i="52"/>
  <c r="I13" i="52"/>
  <c r="I12" i="52"/>
  <c r="I56" i="48"/>
  <c r="I55" i="48"/>
  <c r="I54" i="48"/>
  <c r="I53" i="48"/>
  <c r="I52" i="48"/>
  <c r="I51" i="48"/>
  <c r="I50" i="48"/>
  <c r="I49" i="48"/>
  <c r="I48" i="48"/>
  <c r="I47" i="48"/>
  <c r="I46" i="48"/>
  <c r="I45" i="48"/>
  <c r="I44" i="48"/>
  <c r="I43" i="48"/>
  <c r="I42" i="48"/>
  <c r="I41" i="48"/>
  <c r="I40" i="48"/>
  <c r="I39" i="48"/>
  <c r="I38" i="48"/>
  <c r="I37" i="48"/>
  <c r="I36" i="48"/>
  <c r="I35" i="48"/>
  <c r="I34" i="48"/>
  <c r="I33" i="48"/>
  <c r="I32" i="48"/>
  <c r="I31" i="48"/>
  <c r="I30" i="48"/>
  <c r="I29" i="48"/>
  <c r="I28" i="48"/>
  <c r="I27" i="48"/>
  <c r="I26" i="48"/>
  <c r="I25" i="48"/>
  <c r="I24" i="48"/>
  <c r="I23" i="48"/>
  <c r="I22" i="48"/>
  <c r="I21" i="48"/>
  <c r="I20" i="48"/>
  <c r="I19" i="48"/>
  <c r="I18" i="48"/>
  <c r="I17" i="48"/>
  <c r="I16" i="48"/>
  <c r="I15" i="48"/>
  <c r="I14" i="48"/>
  <c r="I13" i="48"/>
  <c r="I12" i="48"/>
  <c r="I57" i="51"/>
  <c r="I56" i="51"/>
  <c r="I55" i="51"/>
  <c r="I54" i="51"/>
  <c r="I52" i="51"/>
  <c r="I51" i="51"/>
  <c r="I50" i="51"/>
  <c r="I49" i="51"/>
  <c r="I48" i="51"/>
  <c r="I47" i="51"/>
  <c r="I46" i="51"/>
  <c r="I45" i="51"/>
  <c r="I44" i="51"/>
  <c r="I43" i="51"/>
  <c r="I42" i="51"/>
  <c r="I41" i="51"/>
  <c r="I40" i="51"/>
  <c r="I39" i="51"/>
  <c r="I38" i="51"/>
  <c r="I37" i="51"/>
  <c r="I36" i="51"/>
  <c r="I35" i="51"/>
  <c r="I34" i="51"/>
  <c r="I33" i="51"/>
  <c r="I32" i="51"/>
  <c r="I31" i="51"/>
  <c r="I30" i="51"/>
  <c r="I29" i="51"/>
  <c r="I28" i="51"/>
  <c r="I27" i="51"/>
  <c r="I26" i="51"/>
  <c r="I25" i="51"/>
  <c r="I24" i="51"/>
  <c r="I23" i="51"/>
  <c r="I22" i="51"/>
  <c r="I21" i="51"/>
  <c r="I20" i="51"/>
  <c r="I19" i="51"/>
  <c r="I18" i="51"/>
  <c r="I17" i="51"/>
  <c r="I16" i="51"/>
  <c r="I15" i="51"/>
  <c r="I14" i="51"/>
  <c r="I13" i="51"/>
  <c r="I15" i="50"/>
  <c r="I14" i="50"/>
  <c r="I13" i="50"/>
  <c r="I14" i="45"/>
  <c r="I15" i="45"/>
  <c r="I16" i="45"/>
  <c r="I17" i="45"/>
  <c r="I18" i="45"/>
  <c r="I19" i="45"/>
  <c r="I20" i="45"/>
  <c r="I21" i="45"/>
  <c r="I22" i="45"/>
  <c r="I23" i="45"/>
  <c r="I24" i="45"/>
  <c r="I25" i="45"/>
  <c r="I26" i="45"/>
  <c r="I27" i="45"/>
  <c r="I28" i="45"/>
  <c r="I29" i="45"/>
  <c r="I30" i="45"/>
  <c r="I31" i="45"/>
  <c r="I32" i="45"/>
  <c r="I33" i="45"/>
  <c r="I34" i="45"/>
  <c r="I35" i="45"/>
  <c r="I36" i="45"/>
  <c r="I37" i="45"/>
  <c r="I38" i="45"/>
  <c r="I39" i="45"/>
  <c r="I40" i="45"/>
  <c r="I41" i="45"/>
  <c r="I42" i="45"/>
  <c r="I43" i="45"/>
  <c r="I44" i="45"/>
  <c r="I45" i="45"/>
  <c r="I46" i="45"/>
  <c r="I47" i="45"/>
  <c r="I48" i="45"/>
  <c r="I49" i="45"/>
  <c r="I50" i="45"/>
  <c r="I51" i="45"/>
  <c r="I52" i="45"/>
  <c r="I53" i="45"/>
  <c r="I54" i="45"/>
  <c r="I55" i="45"/>
  <c r="I56" i="45"/>
  <c r="I57" i="45"/>
  <c r="I13" i="45"/>
  <c r="A20" i="36"/>
  <c r="A19" i="36"/>
  <c r="A27" i="63"/>
  <c r="A26" i="63"/>
  <c r="A25" i="63"/>
  <c r="A24" i="63"/>
  <c r="A23" i="63"/>
  <c r="A22" i="63"/>
  <c r="A21" i="63"/>
  <c r="A20" i="63"/>
  <c r="A19" i="63"/>
  <c r="A18" i="63"/>
  <c r="A17" i="63"/>
  <c r="A16" i="63"/>
  <c r="A15" i="63"/>
  <c r="A14" i="63"/>
  <c r="A13" i="63"/>
  <c r="A26" i="23"/>
  <c r="A27" i="23"/>
  <c r="A25" i="23"/>
  <c r="A23" i="23"/>
  <c r="A24" i="23"/>
  <c r="A22" i="23"/>
  <c r="A20" i="23"/>
  <c r="A21" i="23"/>
  <c r="A19" i="23"/>
  <c r="A17" i="23"/>
  <c r="A18" i="23"/>
  <c r="A16" i="23"/>
  <c r="A14" i="23"/>
  <c r="A15" i="23"/>
  <c r="A13" i="23"/>
  <c r="F13" i="58" l="1"/>
  <c r="F15" i="39"/>
  <c r="F25" i="52"/>
  <c r="F29" i="52"/>
  <c r="G31" i="52"/>
  <c r="F31" i="52" s="1"/>
  <c r="G25" i="52"/>
  <c r="G26" i="52"/>
  <c r="F26" i="52" s="1"/>
  <c r="G27" i="52"/>
  <c r="F27" i="52" s="1"/>
  <c r="G28" i="52"/>
  <c r="F28" i="52" s="1"/>
  <c r="G29" i="52"/>
  <c r="G30" i="52"/>
  <c r="F30" i="52" s="1"/>
  <c r="G32" i="52"/>
  <c r="F32" i="52" s="1"/>
  <c r="G33" i="52"/>
  <c r="F33" i="52" s="1"/>
  <c r="G34" i="52"/>
  <c r="F34" i="52" s="1"/>
  <c r="G35" i="52"/>
  <c r="G24" i="52"/>
  <c r="F24" i="52" s="1"/>
  <c r="G12" i="52"/>
  <c r="H13" i="52"/>
  <c r="H14" i="52"/>
  <c r="H15" i="52"/>
  <c r="H16" i="52"/>
  <c r="H17" i="52"/>
  <c r="H18" i="52"/>
  <c r="H19" i="52"/>
  <c r="H20" i="52"/>
  <c r="H21" i="52"/>
  <c r="H22" i="52"/>
  <c r="H23" i="52"/>
  <c r="H24" i="52"/>
  <c r="H25" i="52"/>
  <c r="H26" i="52"/>
  <c r="H27" i="52"/>
  <c r="H28" i="52"/>
  <c r="H29" i="52"/>
  <c r="H30" i="52"/>
  <c r="H31" i="52"/>
  <c r="H32" i="52"/>
  <c r="H33" i="52"/>
  <c r="H34" i="52"/>
  <c r="H35" i="52"/>
  <c r="H12" i="52"/>
  <c r="F12" i="52"/>
  <c r="G23" i="52"/>
  <c r="G13" i="52"/>
  <c r="F13" i="52" s="1"/>
  <c r="G14" i="52"/>
  <c r="F14" i="52" s="1"/>
  <c r="G15" i="52"/>
  <c r="F15" i="52" s="1"/>
  <c r="G16" i="52"/>
  <c r="F16" i="52" s="1"/>
  <c r="G17" i="52"/>
  <c r="F17" i="52" s="1"/>
  <c r="G18" i="52"/>
  <c r="G19" i="52"/>
  <c r="G20" i="52"/>
  <c r="G21" i="52"/>
  <c r="G22" i="52"/>
  <c r="C21" i="52"/>
  <c r="C13" i="52"/>
  <c r="C14" i="52"/>
  <c r="C15" i="52"/>
  <c r="C16" i="52"/>
  <c r="C17" i="52"/>
  <c r="C18" i="52"/>
  <c r="C19" i="52"/>
  <c r="C20" i="52"/>
  <c r="C22" i="52"/>
  <c r="C23" i="52"/>
  <c r="C24" i="52"/>
  <c r="C25" i="52"/>
  <c r="C26" i="52"/>
  <c r="C27" i="52"/>
  <c r="C28" i="52"/>
  <c r="C29" i="52"/>
  <c r="C30" i="52"/>
  <c r="C31" i="52"/>
  <c r="C32" i="52"/>
  <c r="C33" i="52"/>
  <c r="C34" i="52"/>
  <c r="C35" i="52"/>
  <c r="C12" i="52"/>
  <c r="H57" i="51"/>
  <c r="G57" i="51"/>
  <c r="C57" i="51"/>
  <c r="H56" i="51"/>
  <c r="G56" i="51"/>
  <c r="C56" i="51"/>
  <c r="H55" i="51"/>
  <c r="G55" i="51"/>
  <c r="C55" i="51"/>
  <c r="H54" i="51"/>
  <c r="G54" i="51"/>
  <c r="C54" i="51"/>
  <c r="H52" i="51"/>
  <c r="G52" i="51"/>
  <c r="C52" i="51"/>
  <c r="H51" i="51"/>
  <c r="G51" i="51"/>
  <c r="C51" i="51"/>
  <c r="H50" i="51"/>
  <c r="G50" i="51"/>
  <c r="C50" i="51"/>
  <c r="H49" i="51"/>
  <c r="G49" i="51"/>
  <c r="C49" i="51"/>
  <c r="H48" i="51"/>
  <c r="G48" i="51"/>
  <c r="C48" i="51"/>
  <c r="H47" i="51"/>
  <c r="G47" i="51"/>
  <c r="C47" i="51"/>
  <c r="H46" i="51"/>
  <c r="G46" i="51"/>
  <c r="C46" i="51"/>
  <c r="H45" i="51"/>
  <c r="G45" i="51"/>
  <c r="C45" i="51"/>
  <c r="H44" i="51"/>
  <c r="G44" i="51"/>
  <c r="C44" i="51"/>
  <c r="H43" i="51"/>
  <c r="G43" i="51"/>
  <c r="C43" i="51"/>
  <c r="H42" i="51"/>
  <c r="G42" i="51"/>
  <c r="C42" i="51"/>
  <c r="H41" i="51"/>
  <c r="G41" i="51"/>
  <c r="C41" i="51"/>
  <c r="H40" i="51"/>
  <c r="G40" i="51"/>
  <c r="C40" i="51"/>
  <c r="H39" i="51"/>
  <c r="G39" i="51"/>
  <c r="C39" i="51"/>
  <c r="H38" i="51"/>
  <c r="G38" i="51"/>
  <c r="C38" i="51"/>
  <c r="H37" i="51"/>
  <c r="G37" i="51"/>
  <c r="C37" i="51"/>
  <c r="H36" i="51"/>
  <c r="G36" i="51"/>
  <c r="C36" i="51"/>
  <c r="H35" i="51"/>
  <c r="G35" i="51"/>
  <c r="C35" i="51"/>
  <c r="H34" i="51"/>
  <c r="G34" i="51"/>
  <c r="C34" i="51"/>
  <c r="H33" i="51"/>
  <c r="G33" i="51"/>
  <c r="C33" i="51"/>
  <c r="H32" i="51"/>
  <c r="G32" i="51"/>
  <c r="C32" i="51"/>
  <c r="H31" i="51"/>
  <c r="G31" i="51"/>
  <c r="C31" i="51"/>
  <c r="H30" i="51"/>
  <c r="H29" i="51"/>
  <c r="H28" i="51"/>
  <c r="H27" i="51"/>
  <c r="H26" i="51"/>
  <c r="H25" i="51"/>
  <c r="H24" i="51"/>
  <c r="H23" i="51"/>
  <c r="H22" i="51"/>
  <c r="H21" i="51"/>
  <c r="H20" i="51"/>
  <c r="H19" i="51"/>
  <c r="H18" i="51"/>
  <c r="H17" i="51"/>
  <c r="H16" i="51"/>
  <c r="H15" i="51"/>
  <c r="H14" i="51"/>
  <c r="H13" i="51"/>
  <c r="B82" i="70"/>
  <c r="E81" i="70"/>
  <c r="D81" i="70"/>
  <c r="B81" i="70"/>
  <c r="E80" i="70"/>
  <c r="D80" i="70"/>
  <c r="B80" i="70"/>
  <c r="E79" i="70"/>
  <c r="D79" i="70"/>
  <c r="B79" i="70"/>
  <c r="E78" i="70"/>
  <c r="D78" i="70"/>
  <c r="B78" i="70"/>
  <c r="H77" i="70"/>
  <c r="G77" i="70"/>
  <c r="F77" i="70"/>
  <c r="E77" i="70"/>
  <c r="D77" i="70"/>
  <c r="C77" i="70"/>
  <c r="B77" i="70"/>
  <c r="A77" i="70"/>
  <c r="F74" i="70"/>
  <c r="D74" i="70"/>
  <c r="B74" i="70"/>
  <c r="B73" i="70"/>
  <c r="B72" i="70"/>
  <c r="D71" i="70"/>
  <c r="B71" i="70"/>
  <c r="I69" i="70"/>
  <c r="B69" i="70"/>
  <c r="B67" i="70"/>
  <c r="B64" i="70"/>
  <c r="B61" i="70"/>
  <c r="H16" i="70"/>
  <c r="H81" i="70" s="1"/>
  <c r="G16" i="70"/>
  <c r="G81" i="70" s="1"/>
  <c r="F16" i="70"/>
  <c r="F81" i="70" s="1"/>
  <c r="C16" i="70"/>
  <c r="C81" i="70" s="1"/>
  <c r="A16" i="70"/>
  <c r="A81" i="70" s="1"/>
  <c r="H15" i="70"/>
  <c r="H80" i="70" s="1"/>
  <c r="G15" i="70"/>
  <c r="G80" i="70" s="1"/>
  <c r="F15" i="70"/>
  <c r="F80" i="70" s="1"/>
  <c r="C15" i="70"/>
  <c r="C80" i="70" s="1"/>
  <c r="A15" i="70"/>
  <c r="A80" i="70" s="1"/>
  <c r="H14" i="70"/>
  <c r="H79" i="70" s="1"/>
  <c r="G14" i="70"/>
  <c r="G79" i="70" s="1"/>
  <c r="F14" i="70"/>
  <c r="F79" i="70" s="1"/>
  <c r="C14" i="70"/>
  <c r="C79" i="70" s="1"/>
  <c r="A14" i="70"/>
  <c r="A79" i="70" s="1"/>
  <c r="H13" i="70"/>
  <c r="H78" i="70" s="1"/>
  <c r="G13" i="70"/>
  <c r="G78" i="70" s="1"/>
  <c r="F13" i="70"/>
  <c r="F78" i="70" s="1"/>
  <c r="C13" i="70"/>
  <c r="C78" i="70" s="1"/>
  <c r="A13" i="70"/>
  <c r="A78" i="70" s="1"/>
  <c r="B11" i="70"/>
  <c r="B76" i="70" s="1"/>
  <c r="L5" i="70"/>
  <c r="K5" i="70"/>
  <c r="D4" i="70"/>
  <c r="D69" i="70" s="1"/>
  <c r="B82" i="19"/>
  <c r="B78" i="19"/>
  <c r="D78" i="19"/>
  <c r="E78" i="19"/>
  <c r="B79" i="19"/>
  <c r="D79" i="19"/>
  <c r="E79" i="19"/>
  <c r="B80" i="19"/>
  <c r="D80" i="19"/>
  <c r="E80" i="19"/>
  <c r="B81" i="19"/>
  <c r="D81" i="19"/>
  <c r="E81" i="19"/>
  <c r="B77" i="19"/>
  <c r="C77" i="19"/>
  <c r="D77" i="19"/>
  <c r="E77" i="19"/>
  <c r="F77" i="19"/>
  <c r="G77" i="19"/>
  <c r="H77" i="19"/>
  <c r="A77" i="19"/>
  <c r="I69" i="19"/>
  <c r="F74" i="19"/>
  <c r="D74" i="19"/>
  <c r="D71" i="19"/>
  <c r="B72" i="19"/>
  <c r="B73" i="19"/>
  <c r="B74" i="19"/>
  <c r="B71" i="19"/>
  <c r="B69" i="19"/>
  <c r="B67" i="19"/>
  <c r="B64" i="19"/>
  <c r="A16" i="19"/>
  <c r="A81" i="19" s="1"/>
  <c r="A14" i="19"/>
  <c r="A79" i="19" s="1"/>
  <c r="A15" i="19"/>
  <c r="A80" i="19" s="1"/>
  <c r="A13" i="19"/>
  <c r="A78" i="19" s="1"/>
  <c r="B11" i="19"/>
  <c r="B76" i="19" s="1"/>
  <c r="F129" i="68"/>
  <c r="F126" i="68"/>
  <c r="B88" i="68"/>
  <c r="H87" i="68"/>
  <c r="B87" i="68"/>
  <c r="H86" i="68"/>
  <c r="B86" i="68"/>
  <c r="E85" i="68"/>
  <c r="D85" i="68"/>
  <c r="B85" i="68"/>
  <c r="E84" i="68"/>
  <c r="D84" i="68"/>
  <c r="B84" i="68"/>
  <c r="E83" i="68"/>
  <c r="D83" i="68"/>
  <c r="B83" i="68"/>
  <c r="E82" i="68"/>
  <c r="D82" i="68"/>
  <c r="B82" i="68"/>
  <c r="E81" i="68"/>
  <c r="D81" i="68"/>
  <c r="B81" i="68"/>
  <c r="E80" i="68"/>
  <c r="D80" i="68"/>
  <c r="B80" i="68"/>
  <c r="E79" i="68"/>
  <c r="D79" i="68"/>
  <c r="B79" i="68"/>
  <c r="E78" i="68"/>
  <c r="D78" i="68"/>
  <c r="B78" i="68"/>
  <c r="H77" i="68"/>
  <c r="G77" i="68"/>
  <c r="F77" i="68"/>
  <c r="E77" i="68"/>
  <c r="D77" i="68"/>
  <c r="C77" i="68"/>
  <c r="B77" i="68"/>
  <c r="A77" i="68"/>
  <c r="F74" i="68"/>
  <c r="D74" i="68"/>
  <c r="B74" i="68"/>
  <c r="B73" i="68"/>
  <c r="B72" i="68"/>
  <c r="D71" i="68"/>
  <c r="B71" i="68"/>
  <c r="I69" i="68"/>
  <c r="G69" i="68"/>
  <c r="B69" i="68"/>
  <c r="B67" i="68"/>
  <c r="B129" i="68"/>
  <c r="B61" i="68"/>
  <c r="B126" i="68" s="1"/>
  <c r="E22" i="68"/>
  <c r="E87" i="68" s="1"/>
  <c r="D22" i="68"/>
  <c r="A22" i="68" s="1"/>
  <c r="A87" i="68" s="1"/>
  <c r="E21" i="68"/>
  <c r="E86" i="68" s="1"/>
  <c r="D21" i="68"/>
  <c r="D86" i="68" s="1"/>
  <c r="A21" i="68"/>
  <c r="A86" i="68" s="1"/>
  <c r="H20" i="68"/>
  <c r="H85" i="68" s="1"/>
  <c r="G20" i="68"/>
  <c r="G85" i="68" s="1"/>
  <c r="F20" i="68"/>
  <c r="F85" i="68" s="1"/>
  <c r="C20" i="68"/>
  <c r="C85" i="68" s="1"/>
  <c r="A20" i="68"/>
  <c r="A85" i="68" s="1"/>
  <c r="H19" i="68"/>
  <c r="H84" i="68" s="1"/>
  <c r="G19" i="68"/>
  <c r="G84" i="68" s="1"/>
  <c r="F19" i="68"/>
  <c r="F84" i="68" s="1"/>
  <c r="C19" i="68"/>
  <c r="C84" i="68" s="1"/>
  <c r="A19" i="68"/>
  <c r="A84" i="68" s="1"/>
  <c r="H18" i="68"/>
  <c r="H83" i="68" s="1"/>
  <c r="G18" i="68"/>
  <c r="G83" i="68" s="1"/>
  <c r="F18" i="68"/>
  <c r="F83" i="68" s="1"/>
  <c r="C18" i="68"/>
  <c r="C83" i="68" s="1"/>
  <c r="A18" i="68"/>
  <c r="A83" i="68" s="1"/>
  <c r="H17" i="68"/>
  <c r="H82" i="68" s="1"/>
  <c r="G17" i="68"/>
  <c r="G82" i="68" s="1"/>
  <c r="F17" i="68"/>
  <c r="F82" i="68" s="1"/>
  <c r="C17" i="68"/>
  <c r="C82" i="68" s="1"/>
  <c r="A17" i="68"/>
  <c r="A82" i="68" s="1"/>
  <c r="H16" i="68"/>
  <c r="H81" i="68" s="1"/>
  <c r="G16" i="68"/>
  <c r="G81" i="68" s="1"/>
  <c r="F16" i="68"/>
  <c r="F81" i="68" s="1"/>
  <c r="C16" i="68"/>
  <c r="C81" i="68" s="1"/>
  <c r="A16" i="68"/>
  <c r="A81" i="68" s="1"/>
  <c r="H15" i="68"/>
  <c r="H80" i="68" s="1"/>
  <c r="G15" i="68"/>
  <c r="G80" i="68" s="1"/>
  <c r="F15" i="68"/>
  <c r="F80" i="68" s="1"/>
  <c r="C15" i="68"/>
  <c r="C80" i="68" s="1"/>
  <c r="A15" i="68"/>
  <c r="A80" i="68" s="1"/>
  <c r="H14" i="68"/>
  <c r="H79" i="68" s="1"/>
  <c r="G14" i="68"/>
  <c r="G79" i="68" s="1"/>
  <c r="F14" i="68"/>
  <c r="F79" i="68" s="1"/>
  <c r="C14" i="68"/>
  <c r="C79" i="68" s="1"/>
  <c r="A14" i="68"/>
  <c r="A79" i="68" s="1"/>
  <c r="H13" i="68"/>
  <c r="H78" i="68" s="1"/>
  <c r="G13" i="68"/>
  <c r="G78" i="68" s="1"/>
  <c r="F13" i="68"/>
  <c r="F78" i="68" s="1"/>
  <c r="C13" i="68"/>
  <c r="C78" i="68" s="1"/>
  <c r="A13" i="68"/>
  <c r="A78" i="68" s="1"/>
  <c r="B11" i="68"/>
  <c r="B76" i="68" s="1"/>
  <c r="L5" i="68"/>
  <c r="K5" i="68"/>
  <c r="F129" i="21"/>
  <c r="F126" i="21"/>
  <c r="B88" i="21"/>
  <c r="B78" i="21"/>
  <c r="D78" i="21"/>
  <c r="E78" i="21"/>
  <c r="B79" i="21"/>
  <c r="D79" i="21"/>
  <c r="E79" i="21"/>
  <c r="B80" i="21"/>
  <c r="D80" i="21"/>
  <c r="E80" i="21"/>
  <c r="B81" i="21"/>
  <c r="D81" i="21"/>
  <c r="E81" i="21"/>
  <c r="B82" i="21"/>
  <c r="D82" i="21"/>
  <c r="E82" i="21"/>
  <c r="B83" i="21"/>
  <c r="D83" i="21"/>
  <c r="E83" i="21"/>
  <c r="B84" i="21"/>
  <c r="D84" i="21"/>
  <c r="E84" i="21"/>
  <c r="B85" i="21"/>
  <c r="D85" i="21"/>
  <c r="E85" i="21"/>
  <c r="B86" i="21"/>
  <c r="H86" i="21"/>
  <c r="B87" i="21"/>
  <c r="H87" i="21"/>
  <c r="B77" i="21"/>
  <c r="C77" i="21"/>
  <c r="D77" i="21"/>
  <c r="E77" i="21"/>
  <c r="F77" i="21"/>
  <c r="G77" i="21"/>
  <c r="H77" i="21"/>
  <c r="A77" i="21"/>
  <c r="B76" i="21"/>
  <c r="F74" i="21"/>
  <c r="D74" i="21"/>
  <c r="D71" i="21"/>
  <c r="I69" i="21"/>
  <c r="G69" i="21"/>
  <c r="B74" i="21"/>
  <c r="B73" i="21"/>
  <c r="B72" i="21"/>
  <c r="B71" i="21"/>
  <c r="B69" i="21"/>
  <c r="B67" i="21"/>
  <c r="A16" i="21"/>
  <c r="A81" i="21" s="1"/>
  <c r="A20" i="21"/>
  <c r="A85" i="21" s="1"/>
  <c r="A18" i="21"/>
  <c r="A83" i="21" s="1"/>
  <c r="A19" i="21"/>
  <c r="A84" i="21" s="1"/>
  <c r="A17" i="21"/>
  <c r="A82" i="21" s="1"/>
  <c r="A14" i="21"/>
  <c r="A79" i="21" s="1"/>
  <c r="A15" i="21"/>
  <c r="A80" i="21" s="1"/>
  <c r="A13" i="21"/>
  <c r="A78" i="21" s="1"/>
  <c r="B129" i="21"/>
  <c r="B126" i="21"/>
  <c r="B11" i="21"/>
  <c r="F127" i="67"/>
  <c r="F124" i="67"/>
  <c r="J119" i="67"/>
  <c r="I119" i="67"/>
  <c r="E119" i="67"/>
  <c r="D119" i="67"/>
  <c r="B119" i="67"/>
  <c r="J118" i="67"/>
  <c r="I118" i="67"/>
  <c r="E118" i="67"/>
  <c r="D118" i="67"/>
  <c r="B118" i="67"/>
  <c r="J117" i="67"/>
  <c r="I117" i="67"/>
  <c r="E117" i="67"/>
  <c r="D117" i="67"/>
  <c r="B117" i="67"/>
  <c r="J116" i="67"/>
  <c r="I116" i="67"/>
  <c r="E116" i="67"/>
  <c r="D116" i="67"/>
  <c r="B116" i="67"/>
  <c r="J115" i="67"/>
  <c r="I115" i="67"/>
  <c r="E115" i="67"/>
  <c r="D115" i="67"/>
  <c r="B115" i="67"/>
  <c r="J114" i="67"/>
  <c r="I114" i="67"/>
  <c r="E114" i="67"/>
  <c r="D114" i="67"/>
  <c r="B114" i="67"/>
  <c r="J113" i="67"/>
  <c r="I113" i="67"/>
  <c r="E113" i="67"/>
  <c r="D113" i="67"/>
  <c r="B113" i="67"/>
  <c r="J112" i="67"/>
  <c r="I112" i="67"/>
  <c r="E112" i="67"/>
  <c r="D112" i="67"/>
  <c r="B112" i="67"/>
  <c r="J111" i="67"/>
  <c r="I111" i="67"/>
  <c r="E111" i="67"/>
  <c r="D111" i="67"/>
  <c r="B111" i="67"/>
  <c r="J110" i="67"/>
  <c r="I110" i="67"/>
  <c r="E110" i="67"/>
  <c r="D110" i="67"/>
  <c r="B110" i="67"/>
  <c r="J109" i="67"/>
  <c r="I109" i="67"/>
  <c r="E109" i="67"/>
  <c r="D109" i="67"/>
  <c r="B109" i="67"/>
  <c r="J108" i="67"/>
  <c r="I108" i="67"/>
  <c r="E108" i="67"/>
  <c r="D108" i="67"/>
  <c r="B108" i="67"/>
  <c r="J107" i="67"/>
  <c r="I107" i="67"/>
  <c r="E107" i="67"/>
  <c r="D107" i="67"/>
  <c r="B107" i="67"/>
  <c r="J106" i="67"/>
  <c r="I106" i="67"/>
  <c r="E106" i="67"/>
  <c r="D106" i="67"/>
  <c r="B106" i="67"/>
  <c r="J105" i="67"/>
  <c r="I105" i="67"/>
  <c r="E105" i="67"/>
  <c r="D105" i="67"/>
  <c r="B105" i="67"/>
  <c r="J104" i="67"/>
  <c r="I104" i="67"/>
  <c r="E104" i="67"/>
  <c r="D104" i="67"/>
  <c r="B104" i="67"/>
  <c r="J103" i="67"/>
  <c r="I103" i="67"/>
  <c r="E103" i="67"/>
  <c r="D103" i="67"/>
  <c r="B103" i="67"/>
  <c r="J102" i="67"/>
  <c r="I102" i="67"/>
  <c r="E102" i="67"/>
  <c r="D102" i="67"/>
  <c r="B102" i="67"/>
  <c r="J101" i="67"/>
  <c r="I101" i="67"/>
  <c r="E101" i="67"/>
  <c r="D101" i="67"/>
  <c r="B101" i="67"/>
  <c r="J100" i="67"/>
  <c r="I100" i="67"/>
  <c r="E100" i="67"/>
  <c r="D100" i="67"/>
  <c r="B100" i="67"/>
  <c r="J99" i="67"/>
  <c r="I99" i="67"/>
  <c r="E99" i="67"/>
  <c r="D99" i="67"/>
  <c r="B99" i="67"/>
  <c r="J98" i="67"/>
  <c r="I98" i="67"/>
  <c r="E98" i="67"/>
  <c r="D98" i="67"/>
  <c r="B98" i="67"/>
  <c r="J97" i="67"/>
  <c r="I97" i="67"/>
  <c r="E97" i="67"/>
  <c r="D97" i="67"/>
  <c r="B97" i="67"/>
  <c r="J96" i="67"/>
  <c r="I96" i="67"/>
  <c r="E96" i="67"/>
  <c r="D96" i="67"/>
  <c r="B96" i="67"/>
  <c r="J95" i="67"/>
  <c r="I95" i="67"/>
  <c r="E95" i="67"/>
  <c r="D95" i="67"/>
  <c r="B95" i="67"/>
  <c r="J94" i="67"/>
  <c r="I94" i="67"/>
  <c r="E94" i="67"/>
  <c r="D94" i="67"/>
  <c r="B94" i="67"/>
  <c r="J93" i="67"/>
  <c r="I93" i="67"/>
  <c r="E93" i="67"/>
  <c r="D93" i="67"/>
  <c r="B93" i="67"/>
  <c r="J92" i="67"/>
  <c r="I92" i="67"/>
  <c r="E92" i="67"/>
  <c r="D92" i="67"/>
  <c r="B92" i="67"/>
  <c r="J91" i="67"/>
  <c r="I91" i="67"/>
  <c r="E91" i="67"/>
  <c r="D91" i="67"/>
  <c r="B91" i="67"/>
  <c r="J90" i="67"/>
  <c r="I90" i="67"/>
  <c r="E90" i="67"/>
  <c r="D90" i="67"/>
  <c r="B90" i="67"/>
  <c r="J89" i="67"/>
  <c r="I89" i="67"/>
  <c r="H89" i="67"/>
  <c r="G89" i="67"/>
  <c r="F89" i="67"/>
  <c r="E89" i="67"/>
  <c r="D89" i="67"/>
  <c r="C89" i="67"/>
  <c r="B89" i="67"/>
  <c r="A89" i="67"/>
  <c r="B87" i="67"/>
  <c r="H86" i="67"/>
  <c r="E86" i="67"/>
  <c r="B86" i="67"/>
  <c r="H85" i="67"/>
  <c r="E85" i="67"/>
  <c r="B85" i="67"/>
  <c r="J84" i="67"/>
  <c r="I84" i="67"/>
  <c r="E84" i="67"/>
  <c r="D84" i="67"/>
  <c r="B84" i="67"/>
  <c r="J83" i="67"/>
  <c r="I83" i="67"/>
  <c r="E83" i="67"/>
  <c r="D83" i="67"/>
  <c r="B83" i="67"/>
  <c r="J82" i="67"/>
  <c r="I82" i="67"/>
  <c r="E82" i="67"/>
  <c r="D82" i="67"/>
  <c r="B82" i="67"/>
  <c r="J81" i="67"/>
  <c r="I81" i="67"/>
  <c r="E81" i="67"/>
  <c r="D81" i="67"/>
  <c r="B81" i="67"/>
  <c r="J80" i="67"/>
  <c r="I80" i="67"/>
  <c r="E80" i="67"/>
  <c r="D80" i="67"/>
  <c r="B80" i="67"/>
  <c r="J79" i="67"/>
  <c r="I79" i="67"/>
  <c r="E79" i="67"/>
  <c r="D79" i="67"/>
  <c r="B79" i="67"/>
  <c r="J78" i="67"/>
  <c r="I78" i="67"/>
  <c r="E78" i="67"/>
  <c r="D78" i="67"/>
  <c r="B78" i="67"/>
  <c r="J77" i="67"/>
  <c r="I77" i="67"/>
  <c r="E77" i="67"/>
  <c r="D77" i="67"/>
  <c r="B77" i="67"/>
  <c r="J76" i="67"/>
  <c r="I76" i="67"/>
  <c r="H76" i="67"/>
  <c r="G76" i="67"/>
  <c r="F76" i="67"/>
  <c r="E76" i="67"/>
  <c r="D76" i="67"/>
  <c r="C76" i="67"/>
  <c r="B76" i="67"/>
  <c r="A76" i="67"/>
  <c r="B74" i="67"/>
  <c r="D73" i="67"/>
  <c r="B73" i="67"/>
  <c r="B72" i="67"/>
  <c r="B71" i="67"/>
  <c r="D70" i="67"/>
  <c r="B70" i="67"/>
  <c r="B66" i="67"/>
  <c r="B88" i="67" s="1"/>
  <c r="B63" i="67"/>
  <c r="B127" i="67" s="1"/>
  <c r="B60" i="67"/>
  <c r="B124" i="67" s="1"/>
  <c r="H55" i="67"/>
  <c r="H119" i="67" s="1"/>
  <c r="G55" i="67"/>
  <c r="G119" i="67" s="1"/>
  <c r="F55" i="67"/>
  <c r="F119" i="67" s="1"/>
  <c r="C55" i="67"/>
  <c r="C119" i="67" s="1"/>
  <c r="A55" i="67"/>
  <c r="A119" i="67" s="1"/>
  <c r="H54" i="67"/>
  <c r="H118" i="67" s="1"/>
  <c r="G54" i="67"/>
  <c r="G118" i="67" s="1"/>
  <c r="F54" i="67"/>
  <c r="F118" i="67" s="1"/>
  <c r="C54" i="67"/>
  <c r="C118" i="67" s="1"/>
  <c r="A54" i="67"/>
  <c r="A118" i="67" s="1"/>
  <c r="H53" i="67"/>
  <c r="H117" i="67" s="1"/>
  <c r="G53" i="67"/>
  <c r="G117" i="67" s="1"/>
  <c r="F53" i="67"/>
  <c r="F117" i="67" s="1"/>
  <c r="C53" i="67"/>
  <c r="C117" i="67" s="1"/>
  <c r="A53" i="67"/>
  <c r="A117" i="67" s="1"/>
  <c r="H52" i="67"/>
  <c r="H116" i="67" s="1"/>
  <c r="G52" i="67"/>
  <c r="G116" i="67" s="1"/>
  <c r="F52" i="67"/>
  <c r="F116" i="67" s="1"/>
  <c r="C52" i="67"/>
  <c r="C116" i="67" s="1"/>
  <c r="A52" i="67"/>
  <c r="A116" i="67" s="1"/>
  <c r="H51" i="67"/>
  <c r="H115" i="67" s="1"/>
  <c r="G51" i="67"/>
  <c r="G115" i="67" s="1"/>
  <c r="F51" i="67"/>
  <c r="F115" i="67" s="1"/>
  <c r="C51" i="67"/>
  <c r="C115" i="67" s="1"/>
  <c r="A51" i="67"/>
  <c r="A115" i="67" s="1"/>
  <c r="H50" i="67"/>
  <c r="H114" i="67" s="1"/>
  <c r="G50" i="67"/>
  <c r="G114" i="67" s="1"/>
  <c r="F50" i="67"/>
  <c r="F114" i="67" s="1"/>
  <c r="C50" i="67"/>
  <c r="C114" i="67" s="1"/>
  <c r="A50" i="67"/>
  <c r="A114" i="67" s="1"/>
  <c r="H49" i="67"/>
  <c r="H113" i="67" s="1"/>
  <c r="G49" i="67"/>
  <c r="G113" i="67" s="1"/>
  <c r="F49" i="67"/>
  <c r="F113" i="67" s="1"/>
  <c r="C49" i="67"/>
  <c r="C113" i="67" s="1"/>
  <c r="A49" i="67"/>
  <c r="A113" i="67" s="1"/>
  <c r="H48" i="67"/>
  <c r="H112" i="67" s="1"/>
  <c r="G48" i="67"/>
  <c r="G112" i="67" s="1"/>
  <c r="F48" i="67"/>
  <c r="F112" i="67" s="1"/>
  <c r="C48" i="67"/>
  <c r="C112" i="67" s="1"/>
  <c r="A48" i="67"/>
  <c r="A112" i="67" s="1"/>
  <c r="H47" i="67"/>
  <c r="H111" i="67" s="1"/>
  <c r="G47" i="67"/>
  <c r="G111" i="67" s="1"/>
  <c r="F47" i="67"/>
  <c r="F111" i="67" s="1"/>
  <c r="C47" i="67"/>
  <c r="C111" i="67" s="1"/>
  <c r="A47" i="67"/>
  <c r="A111" i="67" s="1"/>
  <c r="H46" i="67"/>
  <c r="H110" i="67" s="1"/>
  <c r="G46" i="67"/>
  <c r="G110" i="67" s="1"/>
  <c r="F46" i="67"/>
  <c r="F110" i="67" s="1"/>
  <c r="C46" i="67"/>
  <c r="C110" i="67" s="1"/>
  <c r="A46" i="67"/>
  <c r="A110" i="67" s="1"/>
  <c r="H45" i="67"/>
  <c r="H109" i="67" s="1"/>
  <c r="G45" i="67"/>
  <c r="G109" i="67" s="1"/>
  <c r="F45" i="67"/>
  <c r="F109" i="67" s="1"/>
  <c r="C45" i="67"/>
  <c r="C109" i="67" s="1"/>
  <c r="A45" i="67"/>
  <c r="A109" i="67" s="1"/>
  <c r="H44" i="67"/>
  <c r="H108" i="67" s="1"/>
  <c r="G44" i="67"/>
  <c r="G108" i="67" s="1"/>
  <c r="F44" i="67"/>
  <c r="F108" i="67" s="1"/>
  <c r="C44" i="67"/>
  <c r="C108" i="67" s="1"/>
  <c r="A44" i="67"/>
  <c r="A108" i="67" s="1"/>
  <c r="H43" i="67"/>
  <c r="H107" i="67" s="1"/>
  <c r="G43" i="67"/>
  <c r="G107" i="67" s="1"/>
  <c r="F43" i="67"/>
  <c r="F107" i="67" s="1"/>
  <c r="C43" i="67"/>
  <c r="C107" i="67" s="1"/>
  <c r="A43" i="67"/>
  <c r="A107" i="67" s="1"/>
  <c r="H42" i="67"/>
  <c r="H106" i="67" s="1"/>
  <c r="G42" i="67"/>
  <c r="G106" i="67" s="1"/>
  <c r="F42" i="67"/>
  <c r="F106" i="67" s="1"/>
  <c r="C42" i="67"/>
  <c r="C106" i="67" s="1"/>
  <c r="A42" i="67"/>
  <c r="A106" i="67" s="1"/>
  <c r="H41" i="67"/>
  <c r="H105" i="67" s="1"/>
  <c r="G41" i="67"/>
  <c r="G105" i="67" s="1"/>
  <c r="F41" i="67"/>
  <c r="F105" i="67" s="1"/>
  <c r="C41" i="67"/>
  <c r="C105" i="67" s="1"/>
  <c r="A41" i="67"/>
  <c r="A105" i="67" s="1"/>
  <c r="H40" i="67"/>
  <c r="H104" i="67" s="1"/>
  <c r="G40" i="67"/>
  <c r="G104" i="67" s="1"/>
  <c r="F40" i="67"/>
  <c r="F104" i="67" s="1"/>
  <c r="C40" i="67"/>
  <c r="C104" i="67" s="1"/>
  <c r="A40" i="67"/>
  <c r="A104" i="67" s="1"/>
  <c r="H39" i="67"/>
  <c r="H103" i="67" s="1"/>
  <c r="G39" i="67"/>
  <c r="G103" i="67" s="1"/>
  <c r="F39" i="67"/>
  <c r="F103" i="67" s="1"/>
  <c r="C39" i="67"/>
  <c r="C103" i="67" s="1"/>
  <c r="A39" i="67"/>
  <c r="A103" i="67" s="1"/>
  <c r="H38" i="67"/>
  <c r="H102" i="67" s="1"/>
  <c r="G38" i="67"/>
  <c r="G102" i="67" s="1"/>
  <c r="F38" i="67"/>
  <c r="F102" i="67" s="1"/>
  <c r="C38" i="67"/>
  <c r="C102" i="67" s="1"/>
  <c r="A38" i="67"/>
  <c r="A102" i="67" s="1"/>
  <c r="H37" i="67"/>
  <c r="H101" i="67" s="1"/>
  <c r="G37" i="67"/>
  <c r="G101" i="67" s="1"/>
  <c r="F37" i="67"/>
  <c r="F101" i="67" s="1"/>
  <c r="C37" i="67"/>
  <c r="C101" i="67" s="1"/>
  <c r="A37" i="67"/>
  <c r="A101" i="67" s="1"/>
  <c r="H36" i="67"/>
  <c r="H100" i="67" s="1"/>
  <c r="G36" i="67"/>
  <c r="G100" i="67" s="1"/>
  <c r="F36" i="67"/>
  <c r="F100" i="67" s="1"/>
  <c r="C36" i="67"/>
  <c r="C100" i="67" s="1"/>
  <c r="A36" i="67"/>
  <c r="A100" i="67" s="1"/>
  <c r="H35" i="67"/>
  <c r="H99" i="67" s="1"/>
  <c r="G35" i="67"/>
  <c r="G99" i="67" s="1"/>
  <c r="F35" i="67"/>
  <c r="F99" i="67" s="1"/>
  <c r="C35" i="67"/>
  <c r="C99" i="67" s="1"/>
  <c r="A35" i="67"/>
  <c r="A99" i="67" s="1"/>
  <c r="H34" i="67"/>
  <c r="H98" i="67" s="1"/>
  <c r="G34" i="67"/>
  <c r="G98" i="67" s="1"/>
  <c r="F34" i="67"/>
  <c r="F98" i="67" s="1"/>
  <c r="C34" i="67"/>
  <c r="C98" i="67" s="1"/>
  <c r="A34" i="67"/>
  <c r="A98" i="67" s="1"/>
  <c r="H33" i="67"/>
  <c r="H97" i="67" s="1"/>
  <c r="G33" i="67"/>
  <c r="G97" i="67" s="1"/>
  <c r="F33" i="67"/>
  <c r="F97" i="67" s="1"/>
  <c r="C33" i="67"/>
  <c r="C97" i="67" s="1"/>
  <c r="A33" i="67"/>
  <c r="A97" i="67" s="1"/>
  <c r="H32" i="67"/>
  <c r="H96" i="67" s="1"/>
  <c r="G32" i="67"/>
  <c r="G96" i="67" s="1"/>
  <c r="F32" i="67"/>
  <c r="F96" i="67" s="1"/>
  <c r="C32" i="67"/>
  <c r="C96" i="67" s="1"/>
  <c r="A32" i="67"/>
  <c r="A96" i="67" s="1"/>
  <c r="H31" i="67"/>
  <c r="H95" i="67" s="1"/>
  <c r="G31" i="67"/>
  <c r="G95" i="67" s="1"/>
  <c r="F31" i="67"/>
  <c r="F95" i="67" s="1"/>
  <c r="C31" i="67"/>
  <c r="C95" i="67" s="1"/>
  <c r="A31" i="67"/>
  <c r="A95" i="67" s="1"/>
  <c r="H30" i="67"/>
  <c r="H94" i="67" s="1"/>
  <c r="G30" i="67"/>
  <c r="G94" i="67" s="1"/>
  <c r="F30" i="67"/>
  <c r="F94" i="67" s="1"/>
  <c r="C30" i="67"/>
  <c r="C94" i="67" s="1"/>
  <c r="A30" i="67"/>
  <c r="A94" i="67" s="1"/>
  <c r="H29" i="67"/>
  <c r="H93" i="67" s="1"/>
  <c r="G29" i="67"/>
  <c r="G93" i="67" s="1"/>
  <c r="F29" i="67"/>
  <c r="F93" i="67" s="1"/>
  <c r="C29" i="67"/>
  <c r="C93" i="67" s="1"/>
  <c r="A29" i="67"/>
  <c r="A93" i="67" s="1"/>
  <c r="H28" i="67"/>
  <c r="H92" i="67" s="1"/>
  <c r="G28" i="67"/>
  <c r="G92" i="67" s="1"/>
  <c r="F28" i="67"/>
  <c r="F92" i="67" s="1"/>
  <c r="C28" i="67"/>
  <c r="C92" i="67" s="1"/>
  <c r="A28" i="67"/>
  <c r="A92" i="67" s="1"/>
  <c r="H27" i="67"/>
  <c r="H91" i="67" s="1"/>
  <c r="G27" i="67"/>
  <c r="G91" i="67" s="1"/>
  <c r="F27" i="67"/>
  <c r="F91" i="67" s="1"/>
  <c r="C27" i="67"/>
  <c r="C91" i="67" s="1"/>
  <c r="A27" i="67"/>
  <c r="A91" i="67" s="1"/>
  <c r="H26" i="67"/>
  <c r="H90" i="67" s="1"/>
  <c r="G26" i="67"/>
  <c r="G90" i="67" s="1"/>
  <c r="F26" i="67"/>
  <c r="F90" i="67" s="1"/>
  <c r="C26" i="67"/>
  <c r="C90" i="67" s="1"/>
  <c r="A26" i="67"/>
  <c r="A90" i="67" s="1"/>
  <c r="B24" i="67"/>
  <c r="J22" i="67"/>
  <c r="J86" i="67" s="1"/>
  <c r="I22" i="67"/>
  <c r="I86" i="67" s="1"/>
  <c r="D22" i="67"/>
  <c r="D86" i="67" s="1"/>
  <c r="J21" i="67"/>
  <c r="J85" i="67" s="1"/>
  <c r="I21" i="67"/>
  <c r="I85" i="67" s="1"/>
  <c r="D21" i="67"/>
  <c r="C21" i="67" s="1"/>
  <c r="C85" i="67" s="1"/>
  <c r="H20" i="67"/>
  <c r="H84" i="67" s="1"/>
  <c r="G20" i="67"/>
  <c r="G84" i="67" s="1"/>
  <c r="F20" i="67"/>
  <c r="F84" i="67" s="1"/>
  <c r="C20" i="67"/>
  <c r="C84" i="67" s="1"/>
  <c r="A20" i="67"/>
  <c r="A84" i="67" s="1"/>
  <c r="H19" i="67"/>
  <c r="H83" i="67" s="1"/>
  <c r="G19" i="67"/>
  <c r="G83" i="67" s="1"/>
  <c r="F19" i="67"/>
  <c r="F83" i="67" s="1"/>
  <c r="C19" i="67"/>
  <c r="C83" i="67" s="1"/>
  <c r="A19" i="67"/>
  <c r="A83" i="67" s="1"/>
  <c r="H18" i="67"/>
  <c r="H82" i="67" s="1"/>
  <c r="G18" i="67"/>
  <c r="G82" i="67" s="1"/>
  <c r="F18" i="67"/>
  <c r="F82" i="67" s="1"/>
  <c r="C18" i="67"/>
  <c r="C82" i="67" s="1"/>
  <c r="A18" i="67"/>
  <c r="A82" i="67" s="1"/>
  <c r="H17" i="67"/>
  <c r="H81" i="67" s="1"/>
  <c r="G17" i="67"/>
  <c r="G81" i="67" s="1"/>
  <c r="F17" i="67"/>
  <c r="F81" i="67" s="1"/>
  <c r="C17" i="67"/>
  <c r="C81" i="67" s="1"/>
  <c r="A17" i="67"/>
  <c r="A81" i="67" s="1"/>
  <c r="H16" i="67"/>
  <c r="H80" i="67" s="1"/>
  <c r="G16" i="67"/>
  <c r="G80" i="67" s="1"/>
  <c r="F16" i="67"/>
  <c r="F80" i="67" s="1"/>
  <c r="C16" i="67"/>
  <c r="C80" i="67" s="1"/>
  <c r="A16" i="67"/>
  <c r="A80" i="67" s="1"/>
  <c r="H15" i="67"/>
  <c r="H79" i="67" s="1"/>
  <c r="G15" i="67"/>
  <c r="G79" i="67" s="1"/>
  <c r="F15" i="67"/>
  <c r="F79" i="67" s="1"/>
  <c r="C15" i="67"/>
  <c r="C79" i="67" s="1"/>
  <c r="A15" i="67"/>
  <c r="A79" i="67" s="1"/>
  <c r="H14" i="67"/>
  <c r="H78" i="67" s="1"/>
  <c r="G14" i="67"/>
  <c r="G78" i="67" s="1"/>
  <c r="F14" i="67"/>
  <c r="F78" i="67" s="1"/>
  <c r="C14" i="67"/>
  <c r="C78" i="67" s="1"/>
  <c r="A14" i="67"/>
  <c r="A78" i="67" s="1"/>
  <c r="H13" i="67"/>
  <c r="H77" i="67" s="1"/>
  <c r="G13" i="67"/>
  <c r="G77" i="67" s="1"/>
  <c r="F13" i="67"/>
  <c r="F77" i="67" s="1"/>
  <c r="C13" i="67"/>
  <c r="C77" i="67" s="1"/>
  <c r="A13" i="67"/>
  <c r="A77" i="67" s="1"/>
  <c r="B11" i="67"/>
  <c r="B75" i="67" s="1"/>
  <c r="L5" i="67"/>
  <c r="K5" i="67"/>
  <c r="F127" i="66"/>
  <c r="F124" i="66"/>
  <c r="B90" i="66"/>
  <c r="D90" i="66"/>
  <c r="E90" i="66"/>
  <c r="I90" i="66"/>
  <c r="J90" i="66"/>
  <c r="B91" i="66"/>
  <c r="D91" i="66"/>
  <c r="E91" i="66"/>
  <c r="I91" i="66"/>
  <c r="J91" i="66"/>
  <c r="B92" i="66"/>
  <c r="D92" i="66"/>
  <c r="E92" i="66"/>
  <c r="I92" i="66"/>
  <c r="J92" i="66"/>
  <c r="B93" i="66"/>
  <c r="D93" i="66"/>
  <c r="E93" i="66"/>
  <c r="I93" i="66"/>
  <c r="J93" i="66"/>
  <c r="B94" i="66"/>
  <c r="D94" i="66"/>
  <c r="E94" i="66"/>
  <c r="I94" i="66"/>
  <c r="J94" i="66"/>
  <c r="B95" i="66"/>
  <c r="D95" i="66"/>
  <c r="E95" i="66"/>
  <c r="I95" i="66"/>
  <c r="J95" i="66"/>
  <c r="B96" i="66"/>
  <c r="D96" i="66"/>
  <c r="E96" i="66"/>
  <c r="I96" i="66"/>
  <c r="J96" i="66"/>
  <c r="B97" i="66"/>
  <c r="D97" i="66"/>
  <c r="E97" i="66"/>
  <c r="I97" i="66"/>
  <c r="J97" i="66"/>
  <c r="B98" i="66"/>
  <c r="D98" i="66"/>
  <c r="E98" i="66"/>
  <c r="I98" i="66"/>
  <c r="J98" i="66"/>
  <c r="B99" i="66"/>
  <c r="D99" i="66"/>
  <c r="E99" i="66"/>
  <c r="I99" i="66"/>
  <c r="J99" i="66"/>
  <c r="B100" i="66"/>
  <c r="D100" i="66"/>
  <c r="E100" i="66"/>
  <c r="I100" i="66"/>
  <c r="J100" i="66"/>
  <c r="B101" i="66"/>
  <c r="D101" i="66"/>
  <c r="E101" i="66"/>
  <c r="I101" i="66"/>
  <c r="J101" i="66"/>
  <c r="B102" i="66"/>
  <c r="D102" i="66"/>
  <c r="E102" i="66"/>
  <c r="I102" i="66"/>
  <c r="J102" i="66"/>
  <c r="B103" i="66"/>
  <c r="D103" i="66"/>
  <c r="E103" i="66"/>
  <c r="I103" i="66"/>
  <c r="J103" i="66"/>
  <c r="B104" i="66"/>
  <c r="D104" i="66"/>
  <c r="E104" i="66"/>
  <c r="I104" i="66"/>
  <c r="J104" i="66"/>
  <c r="B105" i="66"/>
  <c r="D105" i="66"/>
  <c r="E105" i="66"/>
  <c r="I105" i="66"/>
  <c r="J105" i="66"/>
  <c r="B106" i="66"/>
  <c r="D106" i="66"/>
  <c r="E106" i="66"/>
  <c r="I106" i="66"/>
  <c r="J106" i="66"/>
  <c r="B107" i="66"/>
  <c r="D107" i="66"/>
  <c r="E107" i="66"/>
  <c r="I107" i="66"/>
  <c r="J107" i="66"/>
  <c r="B108" i="66"/>
  <c r="D108" i="66"/>
  <c r="E108" i="66"/>
  <c r="I108" i="66"/>
  <c r="J108" i="66"/>
  <c r="B109" i="66"/>
  <c r="D109" i="66"/>
  <c r="E109" i="66"/>
  <c r="I109" i="66"/>
  <c r="J109" i="66"/>
  <c r="B110" i="66"/>
  <c r="D110" i="66"/>
  <c r="E110" i="66"/>
  <c r="I110" i="66"/>
  <c r="J110" i="66"/>
  <c r="B111" i="66"/>
  <c r="D111" i="66"/>
  <c r="E111" i="66"/>
  <c r="I111" i="66"/>
  <c r="J111" i="66"/>
  <c r="B112" i="66"/>
  <c r="D112" i="66"/>
  <c r="E112" i="66"/>
  <c r="I112" i="66"/>
  <c r="J112" i="66"/>
  <c r="B113" i="66"/>
  <c r="D113" i="66"/>
  <c r="E113" i="66"/>
  <c r="I113" i="66"/>
  <c r="J113" i="66"/>
  <c r="B114" i="66"/>
  <c r="D114" i="66"/>
  <c r="E114" i="66"/>
  <c r="I114" i="66"/>
  <c r="J114" i="66"/>
  <c r="B115" i="66"/>
  <c r="D115" i="66"/>
  <c r="E115" i="66"/>
  <c r="I115" i="66"/>
  <c r="J115" i="66"/>
  <c r="B116" i="66"/>
  <c r="D116" i="66"/>
  <c r="E116" i="66"/>
  <c r="I116" i="66"/>
  <c r="J116" i="66"/>
  <c r="B117" i="66"/>
  <c r="D117" i="66"/>
  <c r="E117" i="66"/>
  <c r="I117" i="66"/>
  <c r="J117" i="66"/>
  <c r="B118" i="66"/>
  <c r="D118" i="66"/>
  <c r="E118" i="66"/>
  <c r="I118" i="66"/>
  <c r="J118" i="66"/>
  <c r="B119" i="66"/>
  <c r="D119" i="66"/>
  <c r="E119" i="66"/>
  <c r="I119" i="66"/>
  <c r="J119" i="66"/>
  <c r="B89" i="66"/>
  <c r="C89" i="66"/>
  <c r="D89" i="66"/>
  <c r="E89" i="66"/>
  <c r="F89" i="66"/>
  <c r="G89" i="66"/>
  <c r="H89" i="66"/>
  <c r="I89" i="66"/>
  <c r="J89" i="66"/>
  <c r="A89" i="66"/>
  <c r="B87" i="66"/>
  <c r="B77" i="66"/>
  <c r="D77" i="66"/>
  <c r="E77" i="66"/>
  <c r="I77" i="66"/>
  <c r="J77" i="66"/>
  <c r="B78" i="66"/>
  <c r="D78" i="66"/>
  <c r="E78" i="66"/>
  <c r="I78" i="66"/>
  <c r="J78" i="66"/>
  <c r="B79" i="66"/>
  <c r="D79" i="66"/>
  <c r="E79" i="66"/>
  <c r="I79" i="66"/>
  <c r="J79" i="66"/>
  <c r="B80" i="66"/>
  <c r="D80" i="66"/>
  <c r="E80" i="66"/>
  <c r="I80" i="66"/>
  <c r="J80" i="66"/>
  <c r="B81" i="66"/>
  <c r="D81" i="66"/>
  <c r="E81" i="66"/>
  <c r="I81" i="66"/>
  <c r="J81" i="66"/>
  <c r="B82" i="66"/>
  <c r="D82" i="66"/>
  <c r="E82" i="66"/>
  <c r="I82" i="66"/>
  <c r="J82" i="66"/>
  <c r="B83" i="66"/>
  <c r="D83" i="66"/>
  <c r="E83" i="66"/>
  <c r="I83" i="66"/>
  <c r="J83" i="66"/>
  <c r="B84" i="66"/>
  <c r="D84" i="66"/>
  <c r="E84" i="66"/>
  <c r="I84" i="66"/>
  <c r="J84" i="66"/>
  <c r="B85" i="66"/>
  <c r="E85" i="66"/>
  <c r="H85" i="66"/>
  <c r="B86" i="66"/>
  <c r="E86" i="66"/>
  <c r="H86" i="66"/>
  <c r="B76" i="66"/>
  <c r="C76" i="66"/>
  <c r="D76" i="66"/>
  <c r="E76" i="66"/>
  <c r="F76" i="66"/>
  <c r="G76" i="66"/>
  <c r="H76" i="66"/>
  <c r="I76" i="66"/>
  <c r="J76" i="66"/>
  <c r="A76" i="66"/>
  <c r="B74" i="66"/>
  <c r="D73" i="66"/>
  <c r="D70" i="66"/>
  <c r="B71" i="66"/>
  <c r="B72" i="66"/>
  <c r="B73" i="66"/>
  <c r="B70" i="66"/>
  <c r="B66" i="66"/>
  <c r="B88" i="66" s="1"/>
  <c r="A54" i="66"/>
  <c r="A118" i="66" s="1"/>
  <c r="A55" i="66"/>
  <c r="A119" i="66" s="1"/>
  <c r="A53" i="66"/>
  <c r="A117" i="66" s="1"/>
  <c r="A51" i="66"/>
  <c r="A115" i="66" s="1"/>
  <c r="A52" i="66"/>
  <c r="A116" i="66" s="1"/>
  <c r="A50" i="66"/>
  <c r="A114" i="66" s="1"/>
  <c r="A48" i="66"/>
  <c r="A112" i="66" s="1"/>
  <c r="A49" i="66"/>
  <c r="A113" i="66" s="1"/>
  <c r="A47" i="66"/>
  <c r="A111" i="66" s="1"/>
  <c r="A46" i="66"/>
  <c r="A110" i="66" s="1"/>
  <c r="A43" i="66"/>
  <c r="A107" i="66" s="1"/>
  <c r="A40" i="66"/>
  <c r="A104" i="66" s="1"/>
  <c r="A37" i="66"/>
  <c r="A101" i="66" s="1"/>
  <c r="A34" i="66"/>
  <c r="A98" i="66" s="1"/>
  <c r="A31" i="66"/>
  <c r="A95" i="66" s="1"/>
  <c r="A28" i="66"/>
  <c r="A92" i="66" s="1"/>
  <c r="H52" i="66"/>
  <c r="H116" i="66" s="1"/>
  <c r="G52" i="66"/>
  <c r="G116" i="66" s="1"/>
  <c r="F52" i="66"/>
  <c r="F116" i="66" s="1"/>
  <c r="C52" i="66"/>
  <c r="C116" i="66" s="1"/>
  <c r="H51" i="66"/>
  <c r="H115" i="66" s="1"/>
  <c r="G51" i="66"/>
  <c r="G115" i="66" s="1"/>
  <c r="F51" i="66"/>
  <c r="F115" i="66" s="1"/>
  <c r="C51" i="66"/>
  <c r="C115" i="66" s="1"/>
  <c r="H50" i="66"/>
  <c r="H114" i="66" s="1"/>
  <c r="G50" i="66"/>
  <c r="G114" i="66" s="1"/>
  <c r="F50" i="66"/>
  <c r="F114" i="66" s="1"/>
  <c r="C50" i="66"/>
  <c r="C114" i="66" s="1"/>
  <c r="H49" i="66"/>
  <c r="H113" i="66" s="1"/>
  <c r="G49" i="66"/>
  <c r="G113" i="66" s="1"/>
  <c r="F49" i="66"/>
  <c r="F113" i="66" s="1"/>
  <c r="C49" i="66"/>
  <c r="C113" i="66" s="1"/>
  <c r="H48" i="66"/>
  <c r="H112" i="66" s="1"/>
  <c r="G48" i="66"/>
  <c r="G112" i="66" s="1"/>
  <c r="F48" i="66"/>
  <c r="F112" i="66" s="1"/>
  <c r="C48" i="66"/>
  <c r="C112" i="66" s="1"/>
  <c r="H47" i="66"/>
  <c r="H111" i="66" s="1"/>
  <c r="G47" i="66"/>
  <c r="G111" i="66" s="1"/>
  <c r="F47" i="66"/>
  <c r="F111" i="66" s="1"/>
  <c r="C47" i="66"/>
  <c r="C111" i="66" s="1"/>
  <c r="B63" i="66"/>
  <c r="B127" i="66" s="1"/>
  <c r="B60" i="66"/>
  <c r="B124" i="66" s="1"/>
  <c r="H55" i="66"/>
  <c r="H119" i="66" s="1"/>
  <c r="G55" i="66"/>
  <c r="G119" i="66" s="1"/>
  <c r="F55" i="66"/>
  <c r="F119" i="66" s="1"/>
  <c r="C55" i="66"/>
  <c r="C119" i="66" s="1"/>
  <c r="H54" i="66"/>
  <c r="H118" i="66" s="1"/>
  <c r="G54" i="66"/>
  <c r="G118" i="66" s="1"/>
  <c r="F54" i="66"/>
  <c r="F118" i="66" s="1"/>
  <c r="C54" i="66"/>
  <c r="C118" i="66" s="1"/>
  <c r="H53" i="66"/>
  <c r="H117" i="66" s="1"/>
  <c r="G53" i="66"/>
  <c r="G117" i="66" s="1"/>
  <c r="F53" i="66"/>
  <c r="F117" i="66" s="1"/>
  <c r="C53" i="66"/>
  <c r="C117" i="66" s="1"/>
  <c r="H46" i="66"/>
  <c r="H110" i="66" s="1"/>
  <c r="G46" i="66"/>
  <c r="G110" i="66" s="1"/>
  <c r="F46" i="66"/>
  <c r="F110" i="66" s="1"/>
  <c r="C46" i="66"/>
  <c r="C110" i="66" s="1"/>
  <c r="H45" i="66"/>
  <c r="H109" i="66" s="1"/>
  <c r="G45" i="66"/>
  <c r="G109" i="66" s="1"/>
  <c r="F45" i="66"/>
  <c r="F109" i="66" s="1"/>
  <c r="C45" i="66"/>
  <c r="C109" i="66" s="1"/>
  <c r="A45" i="66"/>
  <c r="A109" i="66" s="1"/>
  <c r="H44" i="66"/>
  <c r="H108" i="66" s="1"/>
  <c r="G44" i="66"/>
  <c r="G108" i="66" s="1"/>
  <c r="F44" i="66"/>
  <c r="F108" i="66" s="1"/>
  <c r="C44" i="66"/>
  <c r="C108" i="66" s="1"/>
  <c r="A44" i="66"/>
  <c r="A108" i="66" s="1"/>
  <c r="H43" i="66"/>
  <c r="H107" i="66" s="1"/>
  <c r="G43" i="66"/>
  <c r="G107" i="66" s="1"/>
  <c r="F43" i="66"/>
  <c r="F107" i="66" s="1"/>
  <c r="C43" i="66"/>
  <c r="C107" i="66" s="1"/>
  <c r="H42" i="66"/>
  <c r="H106" i="66" s="1"/>
  <c r="G42" i="66"/>
  <c r="G106" i="66" s="1"/>
  <c r="F42" i="66"/>
  <c r="F106" i="66" s="1"/>
  <c r="C42" i="66"/>
  <c r="C106" i="66" s="1"/>
  <c r="A42" i="66"/>
  <c r="A106" i="66" s="1"/>
  <c r="H41" i="66"/>
  <c r="H105" i="66" s="1"/>
  <c r="G41" i="66"/>
  <c r="G105" i="66" s="1"/>
  <c r="F41" i="66"/>
  <c r="F105" i="66" s="1"/>
  <c r="C41" i="66"/>
  <c r="C105" i="66" s="1"/>
  <c r="A41" i="66"/>
  <c r="A105" i="66" s="1"/>
  <c r="H40" i="66"/>
  <c r="H104" i="66" s="1"/>
  <c r="G40" i="66"/>
  <c r="G104" i="66" s="1"/>
  <c r="F40" i="66"/>
  <c r="F104" i="66" s="1"/>
  <c r="C40" i="66"/>
  <c r="C104" i="66" s="1"/>
  <c r="H39" i="66"/>
  <c r="H103" i="66" s="1"/>
  <c r="G39" i="66"/>
  <c r="G103" i="66" s="1"/>
  <c r="F39" i="66"/>
  <c r="F103" i="66" s="1"/>
  <c r="C39" i="66"/>
  <c r="C103" i="66" s="1"/>
  <c r="A39" i="66"/>
  <c r="A103" i="66" s="1"/>
  <c r="H38" i="66"/>
  <c r="H102" i="66" s="1"/>
  <c r="G38" i="66"/>
  <c r="G102" i="66" s="1"/>
  <c r="F38" i="66"/>
  <c r="F102" i="66" s="1"/>
  <c r="C38" i="66"/>
  <c r="C102" i="66" s="1"/>
  <c r="A38" i="66"/>
  <c r="A102" i="66" s="1"/>
  <c r="H37" i="66"/>
  <c r="H101" i="66" s="1"/>
  <c r="G37" i="66"/>
  <c r="G101" i="66" s="1"/>
  <c r="F37" i="66"/>
  <c r="F101" i="66" s="1"/>
  <c r="C37" i="66"/>
  <c r="C101" i="66" s="1"/>
  <c r="H36" i="66"/>
  <c r="H100" i="66" s="1"/>
  <c r="G36" i="66"/>
  <c r="G100" i="66" s="1"/>
  <c r="F36" i="66"/>
  <c r="F100" i="66" s="1"/>
  <c r="C36" i="66"/>
  <c r="C100" i="66" s="1"/>
  <c r="A36" i="66"/>
  <c r="A100" i="66" s="1"/>
  <c r="H35" i="66"/>
  <c r="H99" i="66" s="1"/>
  <c r="G35" i="66"/>
  <c r="G99" i="66" s="1"/>
  <c r="F35" i="66"/>
  <c r="F99" i="66" s="1"/>
  <c r="C35" i="66"/>
  <c r="C99" i="66" s="1"/>
  <c r="A35" i="66"/>
  <c r="A99" i="66" s="1"/>
  <c r="H34" i="66"/>
  <c r="H98" i="66" s="1"/>
  <c r="G34" i="66"/>
  <c r="G98" i="66" s="1"/>
  <c r="F34" i="66"/>
  <c r="F98" i="66" s="1"/>
  <c r="C34" i="66"/>
  <c r="C98" i="66" s="1"/>
  <c r="H33" i="66"/>
  <c r="H97" i="66" s="1"/>
  <c r="G33" i="66"/>
  <c r="G97" i="66" s="1"/>
  <c r="F33" i="66"/>
  <c r="F97" i="66" s="1"/>
  <c r="C33" i="66"/>
  <c r="C97" i="66" s="1"/>
  <c r="A33" i="66"/>
  <c r="A97" i="66" s="1"/>
  <c r="H32" i="66"/>
  <c r="H96" i="66" s="1"/>
  <c r="G32" i="66"/>
  <c r="G96" i="66" s="1"/>
  <c r="F32" i="66"/>
  <c r="F96" i="66" s="1"/>
  <c r="C32" i="66"/>
  <c r="C96" i="66" s="1"/>
  <c r="A32" i="66"/>
  <c r="A96" i="66" s="1"/>
  <c r="H31" i="66"/>
  <c r="H95" i="66" s="1"/>
  <c r="G31" i="66"/>
  <c r="G95" i="66" s="1"/>
  <c r="F31" i="66"/>
  <c r="F95" i="66" s="1"/>
  <c r="C31" i="66"/>
  <c r="C95" i="66" s="1"/>
  <c r="H30" i="66"/>
  <c r="H94" i="66" s="1"/>
  <c r="G30" i="66"/>
  <c r="G94" i="66" s="1"/>
  <c r="F30" i="66"/>
  <c r="F94" i="66" s="1"/>
  <c r="C30" i="66"/>
  <c r="C94" i="66" s="1"/>
  <c r="A30" i="66"/>
  <c r="A94" i="66" s="1"/>
  <c r="H29" i="66"/>
  <c r="H93" i="66" s="1"/>
  <c r="G29" i="66"/>
  <c r="G93" i="66" s="1"/>
  <c r="F29" i="66"/>
  <c r="F93" i="66" s="1"/>
  <c r="C29" i="66"/>
  <c r="C93" i="66" s="1"/>
  <c r="A29" i="66"/>
  <c r="A93" i="66" s="1"/>
  <c r="H28" i="66"/>
  <c r="H92" i="66" s="1"/>
  <c r="G28" i="66"/>
  <c r="G92" i="66" s="1"/>
  <c r="F28" i="66"/>
  <c r="F92" i="66" s="1"/>
  <c r="C28" i="66"/>
  <c r="C92" i="66" s="1"/>
  <c r="H27" i="66"/>
  <c r="H91" i="66" s="1"/>
  <c r="G27" i="66"/>
  <c r="G91" i="66" s="1"/>
  <c r="F27" i="66"/>
  <c r="F91" i="66" s="1"/>
  <c r="C27" i="66"/>
  <c r="C91" i="66" s="1"/>
  <c r="A27" i="66"/>
  <c r="A91" i="66" s="1"/>
  <c r="H26" i="66"/>
  <c r="H90" i="66" s="1"/>
  <c r="G26" i="66"/>
  <c r="G90" i="66" s="1"/>
  <c r="F26" i="66"/>
  <c r="F90" i="66" s="1"/>
  <c r="C26" i="66"/>
  <c r="C90" i="66" s="1"/>
  <c r="A26" i="66"/>
  <c r="A90" i="66" s="1"/>
  <c r="B24" i="66"/>
  <c r="J22" i="66"/>
  <c r="J86" i="66" s="1"/>
  <c r="I22" i="66"/>
  <c r="I86" i="66" s="1"/>
  <c r="D22" i="66"/>
  <c r="G22" i="66" s="1"/>
  <c r="G86" i="66" s="1"/>
  <c r="J21" i="66"/>
  <c r="J85" i="66" s="1"/>
  <c r="I21" i="66"/>
  <c r="I85" i="66" s="1"/>
  <c r="D21" i="66"/>
  <c r="A22" i="66" s="1"/>
  <c r="A86" i="66" s="1"/>
  <c r="H20" i="66"/>
  <c r="H84" i="66" s="1"/>
  <c r="G20" i="66"/>
  <c r="G84" i="66" s="1"/>
  <c r="F20" i="66"/>
  <c r="F84" i="66" s="1"/>
  <c r="C20" i="66"/>
  <c r="C84" i="66" s="1"/>
  <c r="A20" i="66"/>
  <c r="A84" i="66" s="1"/>
  <c r="H19" i="66"/>
  <c r="H83" i="66" s="1"/>
  <c r="G19" i="66"/>
  <c r="G83" i="66" s="1"/>
  <c r="F19" i="66"/>
  <c r="F83" i="66" s="1"/>
  <c r="C19" i="66"/>
  <c r="C83" i="66" s="1"/>
  <c r="A19" i="66"/>
  <c r="A83" i="66" s="1"/>
  <c r="H18" i="66"/>
  <c r="H82" i="66" s="1"/>
  <c r="G18" i="66"/>
  <c r="G82" i="66" s="1"/>
  <c r="F18" i="66"/>
  <c r="F82" i="66" s="1"/>
  <c r="C18" i="66"/>
  <c r="C82" i="66" s="1"/>
  <c r="A18" i="66"/>
  <c r="A82" i="66" s="1"/>
  <c r="H17" i="66"/>
  <c r="H81" i="66" s="1"/>
  <c r="G17" i="66"/>
  <c r="G81" i="66" s="1"/>
  <c r="F17" i="66"/>
  <c r="F81" i="66" s="1"/>
  <c r="C17" i="66"/>
  <c r="C81" i="66" s="1"/>
  <c r="A17" i="66"/>
  <c r="A81" i="66" s="1"/>
  <c r="H16" i="66"/>
  <c r="H80" i="66" s="1"/>
  <c r="G16" i="66"/>
  <c r="G80" i="66" s="1"/>
  <c r="F16" i="66"/>
  <c r="C16" i="66"/>
  <c r="C80" i="66" s="1"/>
  <c r="A16" i="66"/>
  <c r="A80" i="66" s="1"/>
  <c r="H15" i="66"/>
  <c r="H79" i="66" s="1"/>
  <c r="G15" i="66"/>
  <c r="G79" i="66" s="1"/>
  <c r="F15" i="66"/>
  <c r="F79" i="66" s="1"/>
  <c r="C15" i="66"/>
  <c r="C79" i="66" s="1"/>
  <c r="A15" i="66"/>
  <c r="A79" i="66" s="1"/>
  <c r="H14" i="66"/>
  <c r="H78" i="66" s="1"/>
  <c r="G14" i="66"/>
  <c r="G78" i="66" s="1"/>
  <c r="F14" i="66"/>
  <c r="F78" i="66" s="1"/>
  <c r="C14" i="66"/>
  <c r="C78" i="66" s="1"/>
  <c r="A14" i="66"/>
  <c r="A78" i="66" s="1"/>
  <c r="H13" i="66"/>
  <c r="H77" i="66" s="1"/>
  <c r="G13" i="66"/>
  <c r="G77" i="66" s="1"/>
  <c r="F13" i="66"/>
  <c r="F77" i="66" s="1"/>
  <c r="C13" i="66"/>
  <c r="C77" i="66" s="1"/>
  <c r="A13" i="66"/>
  <c r="A77" i="66" s="1"/>
  <c r="B11" i="66"/>
  <c r="B75" i="66" s="1"/>
  <c r="L5" i="66"/>
  <c r="K5" i="66"/>
  <c r="D4" i="66" s="1"/>
  <c r="D68" i="66" s="1"/>
  <c r="A18" i="64"/>
  <c r="A84" i="64" s="1"/>
  <c r="F131" i="64"/>
  <c r="F128" i="64"/>
  <c r="J123" i="64"/>
  <c r="I123" i="64"/>
  <c r="E123" i="64"/>
  <c r="D123" i="64"/>
  <c r="B123" i="64"/>
  <c r="J122" i="64"/>
  <c r="I122" i="64"/>
  <c r="E122" i="64"/>
  <c r="D122" i="64"/>
  <c r="B122" i="64"/>
  <c r="J121" i="64"/>
  <c r="I121" i="64"/>
  <c r="E121" i="64"/>
  <c r="D121" i="64"/>
  <c r="B121" i="64"/>
  <c r="J120" i="64"/>
  <c r="I120" i="64"/>
  <c r="E120" i="64"/>
  <c r="D120" i="64"/>
  <c r="B120" i="64"/>
  <c r="J119" i="64"/>
  <c r="I119" i="64"/>
  <c r="E119" i="64"/>
  <c r="D119" i="64"/>
  <c r="B119" i="64"/>
  <c r="J118" i="64"/>
  <c r="I118" i="64"/>
  <c r="E118" i="64"/>
  <c r="D118" i="64"/>
  <c r="B118" i="64"/>
  <c r="J117" i="64"/>
  <c r="I117" i="64"/>
  <c r="E117" i="64"/>
  <c r="D117" i="64"/>
  <c r="B117" i="64"/>
  <c r="J116" i="64"/>
  <c r="I116" i="64"/>
  <c r="E116" i="64"/>
  <c r="D116" i="64"/>
  <c r="B116" i="64"/>
  <c r="J115" i="64"/>
  <c r="I115" i="64"/>
  <c r="E115" i="64"/>
  <c r="D115" i="64"/>
  <c r="B115" i="64"/>
  <c r="J114" i="64"/>
  <c r="I114" i="64"/>
  <c r="E114" i="64"/>
  <c r="D114" i="64"/>
  <c r="B114" i="64"/>
  <c r="J113" i="64"/>
  <c r="I113" i="64"/>
  <c r="E113" i="64"/>
  <c r="D113" i="64"/>
  <c r="B113" i="64"/>
  <c r="J112" i="64"/>
  <c r="I112" i="64"/>
  <c r="E112" i="64"/>
  <c r="D112" i="64"/>
  <c r="B112" i="64"/>
  <c r="J111" i="64"/>
  <c r="I111" i="64"/>
  <c r="E111" i="64"/>
  <c r="D111" i="64"/>
  <c r="B111" i="64"/>
  <c r="J110" i="64"/>
  <c r="I110" i="64"/>
  <c r="E110" i="64"/>
  <c r="D110" i="64"/>
  <c r="B110" i="64"/>
  <c r="J109" i="64"/>
  <c r="I109" i="64"/>
  <c r="E109" i="64"/>
  <c r="D109" i="64"/>
  <c r="B109" i="64"/>
  <c r="J108" i="64"/>
  <c r="I108" i="64"/>
  <c r="E108" i="64"/>
  <c r="D108" i="64"/>
  <c r="B108" i="64"/>
  <c r="J107" i="64"/>
  <c r="I107" i="64"/>
  <c r="E107" i="64"/>
  <c r="D107" i="64"/>
  <c r="B107" i="64"/>
  <c r="J106" i="64"/>
  <c r="I106" i="64"/>
  <c r="E106" i="64"/>
  <c r="D106" i="64"/>
  <c r="B106" i="64"/>
  <c r="J105" i="64"/>
  <c r="I105" i="64"/>
  <c r="E105" i="64"/>
  <c r="D105" i="64"/>
  <c r="B105" i="64"/>
  <c r="J104" i="64"/>
  <c r="I104" i="64"/>
  <c r="E104" i="64"/>
  <c r="D104" i="64"/>
  <c r="B104" i="64"/>
  <c r="J103" i="64"/>
  <c r="I103" i="64"/>
  <c r="E103" i="64"/>
  <c r="D103" i="64"/>
  <c r="B103" i="64"/>
  <c r="J102" i="64"/>
  <c r="I102" i="64"/>
  <c r="E102" i="64"/>
  <c r="D102" i="64"/>
  <c r="B102" i="64"/>
  <c r="J101" i="64"/>
  <c r="I101" i="64"/>
  <c r="E101" i="64"/>
  <c r="D101" i="64"/>
  <c r="B101" i="64"/>
  <c r="J100" i="64"/>
  <c r="I100" i="64"/>
  <c r="E100" i="64"/>
  <c r="D100" i="64"/>
  <c r="B100" i="64"/>
  <c r="J99" i="64"/>
  <c r="I99" i="64"/>
  <c r="E99" i="64"/>
  <c r="D99" i="64"/>
  <c r="B99" i="64"/>
  <c r="J98" i="64"/>
  <c r="I98" i="64"/>
  <c r="E98" i="64"/>
  <c r="D98" i="64"/>
  <c r="B98" i="64"/>
  <c r="J97" i="64"/>
  <c r="I97" i="64"/>
  <c r="E97" i="64"/>
  <c r="D97" i="64"/>
  <c r="B97" i="64"/>
  <c r="J96" i="64"/>
  <c r="I96" i="64"/>
  <c r="H96" i="64"/>
  <c r="G96" i="64"/>
  <c r="F96" i="64"/>
  <c r="E96" i="64"/>
  <c r="D96" i="64"/>
  <c r="C96" i="64"/>
  <c r="B96" i="64"/>
  <c r="A96" i="64"/>
  <c r="B94" i="64"/>
  <c r="H93" i="64"/>
  <c r="E93" i="64"/>
  <c r="B93" i="64"/>
  <c r="H92" i="64"/>
  <c r="E92" i="64"/>
  <c r="B92" i="64"/>
  <c r="H91" i="64"/>
  <c r="E91" i="64"/>
  <c r="B91" i="64"/>
  <c r="J90" i="64"/>
  <c r="I90" i="64"/>
  <c r="E90" i="64"/>
  <c r="D90" i="64"/>
  <c r="B90" i="64"/>
  <c r="J89" i="64"/>
  <c r="I89" i="64"/>
  <c r="E89" i="64"/>
  <c r="D89" i="64"/>
  <c r="B89" i="64"/>
  <c r="J88" i="64"/>
  <c r="I88" i="64"/>
  <c r="E88" i="64"/>
  <c r="D88" i="64"/>
  <c r="B88" i="64"/>
  <c r="J87" i="64"/>
  <c r="I87" i="64"/>
  <c r="E87" i="64"/>
  <c r="D87" i="64"/>
  <c r="B87" i="64"/>
  <c r="J86" i="64"/>
  <c r="I86" i="64"/>
  <c r="E86" i="64"/>
  <c r="D86" i="64"/>
  <c r="B86" i="64"/>
  <c r="J85" i="64"/>
  <c r="I85" i="64"/>
  <c r="E85" i="64"/>
  <c r="D85" i="64"/>
  <c r="B85" i="64"/>
  <c r="J84" i="64"/>
  <c r="I84" i="64"/>
  <c r="E84" i="64"/>
  <c r="D84" i="64"/>
  <c r="B84" i="64"/>
  <c r="J83" i="64"/>
  <c r="I83" i="64"/>
  <c r="E83" i="64"/>
  <c r="D83" i="64"/>
  <c r="B83" i="64"/>
  <c r="J82" i="64"/>
  <c r="I82" i="64"/>
  <c r="E82" i="64"/>
  <c r="D82" i="64"/>
  <c r="B82" i="64"/>
  <c r="J81" i="64"/>
  <c r="I81" i="64"/>
  <c r="E81" i="64"/>
  <c r="D81" i="64"/>
  <c r="B81" i="64"/>
  <c r="J80" i="64"/>
  <c r="I80" i="64"/>
  <c r="E80" i="64"/>
  <c r="D80" i="64"/>
  <c r="B80" i="64"/>
  <c r="J79" i="64"/>
  <c r="I79" i="64"/>
  <c r="E79" i="64"/>
  <c r="D79" i="64"/>
  <c r="B79" i="64"/>
  <c r="J78" i="64"/>
  <c r="I78" i="64"/>
  <c r="H78" i="64"/>
  <c r="G78" i="64"/>
  <c r="F78" i="64"/>
  <c r="E78" i="64"/>
  <c r="D78" i="64"/>
  <c r="C78" i="64"/>
  <c r="B78" i="64"/>
  <c r="A78" i="64"/>
  <c r="D72" i="64"/>
  <c r="B68" i="64"/>
  <c r="B131" i="64"/>
  <c r="B128" i="64"/>
  <c r="H57" i="64"/>
  <c r="H123" i="64" s="1"/>
  <c r="G57" i="64"/>
  <c r="G123" i="64" s="1"/>
  <c r="F57" i="64"/>
  <c r="F123" i="64" s="1"/>
  <c r="C57" i="64"/>
  <c r="C123" i="64" s="1"/>
  <c r="A57" i="64"/>
  <c r="A123" i="64" s="1"/>
  <c r="H56" i="64"/>
  <c r="H122" i="64" s="1"/>
  <c r="G56" i="64"/>
  <c r="G122" i="64" s="1"/>
  <c r="F56" i="64"/>
  <c r="F122" i="64" s="1"/>
  <c r="C56" i="64"/>
  <c r="C122" i="64" s="1"/>
  <c r="A56" i="64"/>
  <c r="A122" i="64" s="1"/>
  <c r="H55" i="64"/>
  <c r="H121" i="64" s="1"/>
  <c r="G55" i="64"/>
  <c r="G121" i="64" s="1"/>
  <c r="F55" i="64"/>
  <c r="F121" i="64" s="1"/>
  <c r="C55" i="64"/>
  <c r="C121" i="64" s="1"/>
  <c r="A55" i="64"/>
  <c r="A121" i="64" s="1"/>
  <c r="H54" i="64"/>
  <c r="H120" i="64" s="1"/>
  <c r="G54" i="64"/>
  <c r="G120" i="64" s="1"/>
  <c r="F54" i="64"/>
  <c r="F120" i="64" s="1"/>
  <c r="C54" i="64"/>
  <c r="C120" i="64" s="1"/>
  <c r="A54" i="64"/>
  <c r="A120" i="64" s="1"/>
  <c r="H53" i="64"/>
  <c r="H119" i="64" s="1"/>
  <c r="G53" i="64"/>
  <c r="G119" i="64" s="1"/>
  <c r="F53" i="64"/>
  <c r="F119" i="64" s="1"/>
  <c r="C53" i="64"/>
  <c r="C119" i="64" s="1"/>
  <c r="A53" i="64"/>
  <c r="A119" i="64" s="1"/>
  <c r="H52" i="64"/>
  <c r="H118" i="64" s="1"/>
  <c r="G52" i="64"/>
  <c r="G118" i="64" s="1"/>
  <c r="F52" i="64"/>
  <c r="F118" i="64" s="1"/>
  <c r="C52" i="64"/>
  <c r="C118" i="64" s="1"/>
  <c r="A52" i="64"/>
  <c r="A118" i="64" s="1"/>
  <c r="H51" i="64"/>
  <c r="H117" i="64" s="1"/>
  <c r="G51" i="64"/>
  <c r="G117" i="64" s="1"/>
  <c r="F51" i="64"/>
  <c r="F117" i="64" s="1"/>
  <c r="C51" i="64"/>
  <c r="C117" i="64" s="1"/>
  <c r="A51" i="64"/>
  <c r="A117" i="64" s="1"/>
  <c r="H50" i="64"/>
  <c r="H116" i="64" s="1"/>
  <c r="G50" i="64"/>
  <c r="G116" i="64" s="1"/>
  <c r="F50" i="64"/>
  <c r="F116" i="64" s="1"/>
  <c r="C50" i="64"/>
  <c r="C116" i="64" s="1"/>
  <c r="A50" i="64"/>
  <c r="A116" i="64" s="1"/>
  <c r="H49" i="64"/>
  <c r="H115" i="64" s="1"/>
  <c r="G49" i="64"/>
  <c r="G115" i="64" s="1"/>
  <c r="F49" i="64"/>
  <c r="F115" i="64" s="1"/>
  <c r="C49" i="64"/>
  <c r="C115" i="64" s="1"/>
  <c r="A49" i="64"/>
  <c r="A115" i="64" s="1"/>
  <c r="H48" i="64"/>
  <c r="H114" i="64" s="1"/>
  <c r="G48" i="64"/>
  <c r="G114" i="64" s="1"/>
  <c r="F48" i="64"/>
  <c r="F114" i="64" s="1"/>
  <c r="C48" i="64"/>
  <c r="C114" i="64" s="1"/>
  <c r="A48" i="64"/>
  <c r="A114" i="64" s="1"/>
  <c r="H47" i="64"/>
  <c r="H113" i="64" s="1"/>
  <c r="G47" i="64"/>
  <c r="G113" i="64" s="1"/>
  <c r="F47" i="64"/>
  <c r="F113" i="64" s="1"/>
  <c r="C47" i="64"/>
  <c r="C113" i="64" s="1"/>
  <c r="A47" i="64"/>
  <c r="A113" i="64" s="1"/>
  <c r="H46" i="64"/>
  <c r="H112" i="64" s="1"/>
  <c r="G46" i="64"/>
  <c r="G112" i="64" s="1"/>
  <c r="F46" i="64"/>
  <c r="F112" i="64" s="1"/>
  <c r="C46" i="64"/>
  <c r="C112" i="64" s="1"/>
  <c r="A46" i="64"/>
  <c r="A112" i="64" s="1"/>
  <c r="H45" i="64"/>
  <c r="H111" i="64" s="1"/>
  <c r="G45" i="64"/>
  <c r="G111" i="64" s="1"/>
  <c r="F45" i="64"/>
  <c r="F111" i="64" s="1"/>
  <c r="C45" i="64"/>
  <c r="C111" i="64" s="1"/>
  <c r="A45" i="64"/>
  <c r="A111" i="64" s="1"/>
  <c r="H44" i="64"/>
  <c r="H110" i="64" s="1"/>
  <c r="G44" i="64"/>
  <c r="G110" i="64" s="1"/>
  <c r="F44" i="64"/>
  <c r="F110" i="64" s="1"/>
  <c r="C44" i="64"/>
  <c r="C110" i="64" s="1"/>
  <c r="A44" i="64"/>
  <c r="A110" i="64" s="1"/>
  <c r="H43" i="64"/>
  <c r="H109" i="64" s="1"/>
  <c r="G43" i="64"/>
  <c r="G109" i="64" s="1"/>
  <c r="F43" i="64"/>
  <c r="F109" i="64" s="1"/>
  <c r="C43" i="64"/>
  <c r="C109" i="64" s="1"/>
  <c r="A43" i="64"/>
  <c r="A109" i="64" s="1"/>
  <c r="H42" i="64"/>
  <c r="H108" i="64" s="1"/>
  <c r="G42" i="64"/>
  <c r="G108" i="64" s="1"/>
  <c r="F42" i="64"/>
  <c r="F108" i="64" s="1"/>
  <c r="C42" i="64"/>
  <c r="C108" i="64" s="1"/>
  <c r="A42" i="64"/>
  <c r="A108" i="64" s="1"/>
  <c r="H41" i="64"/>
  <c r="H107" i="64" s="1"/>
  <c r="G41" i="64"/>
  <c r="G107" i="64" s="1"/>
  <c r="F41" i="64"/>
  <c r="F107" i="64" s="1"/>
  <c r="C41" i="64"/>
  <c r="C107" i="64" s="1"/>
  <c r="A41" i="64"/>
  <c r="A107" i="64" s="1"/>
  <c r="H40" i="64"/>
  <c r="H106" i="64" s="1"/>
  <c r="G40" i="64"/>
  <c r="G106" i="64" s="1"/>
  <c r="F40" i="64"/>
  <c r="F106" i="64" s="1"/>
  <c r="C40" i="64"/>
  <c r="C106" i="64" s="1"/>
  <c r="A40" i="64"/>
  <c r="A106" i="64" s="1"/>
  <c r="H39" i="64"/>
  <c r="H105" i="64" s="1"/>
  <c r="G39" i="64"/>
  <c r="G105" i="64" s="1"/>
  <c r="F39" i="64"/>
  <c r="F105" i="64" s="1"/>
  <c r="C39" i="64"/>
  <c r="C105" i="64" s="1"/>
  <c r="A39" i="64"/>
  <c r="A105" i="64" s="1"/>
  <c r="H38" i="64"/>
  <c r="H104" i="64" s="1"/>
  <c r="G38" i="64"/>
  <c r="G104" i="64" s="1"/>
  <c r="F38" i="64"/>
  <c r="F104" i="64" s="1"/>
  <c r="C38" i="64"/>
  <c r="C104" i="64" s="1"/>
  <c r="A38" i="64"/>
  <c r="A104" i="64" s="1"/>
  <c r="H37" i="64"/>
  <c r="H103" i="64" s="1"/>
  <c r="G37" i="64"/>
  <c r="G103" i="64" s="1"/>
  <c r="F37" i="64"/>
  <c r="F103" i="64" s="1"/>
  <c r="C37" i="64"/>
  <c r="C103" i="64" s="1"/>
  <c r="A37" i="64"/>
  <c r="A103" i="64" s="1"/>
  <c r="H36" i="64"/>
  <c r="H102" i="64" s="1"/>
  <c r="G36" i="64"/>
  <c r="G102" i="64" s="1"/>
  <c r="F36" i="64"/>
  <c r="F102" i="64" s="1"/>
  <c r="C36" i="64"/>
  <c r="C102" i="64" s="1"/>
  <c r="A36" i="64"/>
  <c r="A102" i="64" s="1"/>
  <c r="H35" i="64"/>
  <c r="H101" i="64" s="1"/>
  <c r="G35" i="64"/>
  <c r="G101" i="64" s="1"/>
  <c r="F35" i="64"/>
  <c r="F101" i="64" s="1"/>
  <c r="C35" i="64"/>
  <c r="C101" i="64" s="1"/>
  <c r="A35" i="64"/>
  <c r="A101" i="64" s="1"/>
  <c r="H34" i="64"/>
  <c r="H100" i="64" s="1"/>
  <c r="G34" i="64"/>
  <c r="G100" i="64" s="1"/>
  <c r="F34" i="64"/>
  <c r="F100" i="64" s="1"/>
  <c r="C34" i="64"/>
  <c r="C100" i="64" s="1"/>
  <c r="A34" i="64"/>
  <c r="A100" i="64" s="1"/>
  <c r="H33" i="64"/>
  <c r="H99" i="64" s="1"/>
  <c r="G33" i="64"/>
  <c r="G99" i="64" s="1"/>
  <c r="F33" i="64"/>
  <c r="F99" i="64" s="1"/>
  <c r="C33" i="64"/>
  <c r="C99" i="64" s="1"/>
  <c r="A33" i="64"/>
  <c r="A99" i="64" s="1"/>
  <c r="H32" i="64"/>
  <c r="H98" i="64" s="1"/>
  <c r="G32" i="64"/>
  <c r="G98" i="64" s="1"/>
  <c r="F32" i="64"/>
  <c r="F98" i="64" s="1"/>
  <c r="C32" i="64"/>
  <c r="C98" i="64" s="1"/>
  <c r="A32" i="64"/>
  <c r="A98" i="64" s="1"/>
  <c r="H31" i="64"/>
  <c r="H97" i="64" s="1"/>
  <c r="G31" i="64"/>
  <c r="G97" i="64" s="1"/>
  <c r="F31" i="64"/>
  <c r="F97" i="64" s="1"/>
  <c r="C31" i="64"/>
  <c r="C97" i="64" s="1"/>
  <c r="A31" i="64"/>
  <c r="A97" i="64" s="1"/>
  <c r="B29" i="64"/>
  <c r="B95" i="64" s="1"/>
  <c r="J27" i="64"/>
  <c r="J93" i="64" s="1"/>
  <c r="I27" i="64"/>
  <c r="I93" i="64" s="1"/>
  <c r="D27" i="64"/>
  <c r="C27" i="64" s="1"/>
  <c r="C93" i="64" s="1"/>
  <c r="J26" i="64"/>
  <c r="J92" i="64" s="1"/>
  <c r="I26" i="64"/>
  <c r="I92" i="64" s="1"/>
  <c r="D26" i="64"/>
  <c r="G26" i="64" s="1"/>
  <c r="G92" i="64" s="1"/>
  <c r="J25" i="64"/>
  <c r="J91" i="64" s="1"/>
  <c r="I25" i="64"/>
  <c r="I91" i="64" s="1"/>
  <c r="D25" i="64"/>
  <c r="A26" i="64" s="1"/>
  <c r="A92" i="64" s="1"/>
  <c r="H24" i="64"/>
  <c r="H90" i="64" s="1"/>
  <c r="G24" i="64"/>
  <c r="G90" i="64" s="1"/>
  <c r="F24" i="64"/>
  <c r="F27" i="64" s="1"/>
  <c r="F93" i="64" s="1"/>
  <c r="C24" i="64"/>
  <c r="C90" i="64" s="1"/>
  <c r="A24" i="64"/>
  <c r="A90" i="64" s="1"/>
  <c r="H23" i="64"/>
  <c r="H89" i="64" s="1"/>
  <c r="G23" i="64"/>
  <c r="G89" i="64" s="1"/>
  <c r="F23" i="64"/>
  <c r="F89" i="64" s="1"/>
  <c r="C23" i="64"/>
  <c r="C89" i="64" s="1"/>
  <c r="A23" i="64"/>
  <c r="A89" i="64" s="1"/>
  <c r="H22" i="64"/>
  <c r="H88" i="64" s="1"/>
  <c r="G22" i="64"/>
  <c r="G88" i="64" s="1"/>
  <c r="F22" i="64"/>
  <c r="F88" i="64" s="1"/>
  <c r="C22" i="64"/>
  <c r="C88" i="64" s="1"/>
  <c r="A22" i="64"/>
  <c r="A88" i="64" s="1"/>
  <c r="H21" i="64"/>
  <c r="H87" i="64" s="1"/>
  <c r="G21" i="64"/>
  <c r="G87" i="64" s="1"/>
  <c r="F21" i="64"/>
  <c r="F87" i="64" s="1"/>
  <c r="C21" i="64"/>
  <c r="C87" i="64" s="1"/>
  <c r="A21" i="64"/>
  <c r="A87" i="64" s="1"/>
  <c r="H20" i="64"/>
  <c r="H86" i="64" s="1"/>
  <c r="G20" i="64"/>
  <c r="G86" i="64" s="1"/>
  <c r="F20" i="64"/>
  <c r="F86" i="64" s="1"/>
  <c r="C20" i="64"/>
  <c r="C86" i="64" s="1"/>
  <c r="A20" i="64"/>
  <c r="A86" i="64" s="1"/>
  <c r="H19" i="64"/>
  <c r="H85" i="64" s="1"/>
  <c r="G19" i="64"/>
  <c r="G85" i="64" s="1"/>
  <c r="F19" i="64"/>
  <c r="F85" i="64" s="1"/>
  <c r="C19" i="64"/>
  <c r="C85" i="64" s="1"/>
  <c r="A19" i="64"/>
  <c r="A85" i="64" s="1"/>
  <c r="H18" i="64"/>
  <c r="H84" i="64" s="1"/>
  <c r="G18" i="64"/>
  <c r="G84" i="64" s="1"/>
  <c r="F18" i="64"/>
  <c r="F84" i="64" s="1"/>
  <c r="C18" i="64"/>
  <c r="C84" i="64" s="1"/>
  <c r="H17" i="64"/>
  <c r="H83" i="64" s="1"/>
  <c r="G17" i="64"/>
  <c r="G83" i="64" s="1"/>
  <c r="F17" i="64"/>
  <c r="F83" i="64" s="1"/>
  <c r="C17" i="64"/>
  <c r="C83" i="64" s="1"/>
  <c r="A17" i="64"/>
  <c r="A83" i="64" s="1"/>
  <c r="H16" i="64"/>
  <c r="H82" i="64" s="1"/>
  <c r="G16" i="64"/>
  <c r="G82" i="64" s="1"/>
  <c r="F16" i="64"/>
  <c r="F25" i="64" s="1"/>
  <c r="F91" i="64" s="1"/>
  <c r="C16" i="64"/>
  <c r="C82" i="64" s="1"/>
  <c r="A16" i="64"/>
  <c r="A82" i="64" s="1"/>
  <c r="H15" i="64"/>
  <c r="H81" i="64" s="1"/>
  <c r="G15" i="64"/>
  <c r="G81" i="64" s="1"/>
  <c r="F15" i="64"/>
  <c r="F81" i="64" s="1"/>
  <c r="C15" i="64"/>
  <c r="C81" i="64" s="1"/>
  <c r="A15" i="64"/>
  <c r="A81" i="64" s="1"/>
  <c r="H14" i="64"/>
  <c r="H80" i="64" s="1"/>
  <c r="G14" i="64"/>
  <c r="G80" i="64" s="1"/>
  <c r="F14" i="64"/>
  <c r="F80" i="64" s="1"/>
  <c r="C14" i="64"/>
  <c r="C80" i="64" s="1"/>
  <c r="A14" i="64"/>
  <c r="A80" i="64" s="1"/>
  <c r="H13" i="64"/>
  <c r="H79" i="64" s="1"/>
  <c r="G13" i="64"/>
  <c r="G79" i="64" s="1"/>
  <c r="F13" i="64"/>
  <c r="F79" i="64" s="1"/>
  <c r="C13" i="64"/>
  <c r="C79" i="64" s="1"/>
  <c r="A13" i="64"/>
  <c r="A79" i="64" s="1"/>
  <c r="B11" i="64"/>
  <c r="B77" i="64" s="1"/>
  <c r="L5" i="64"/>
  <c r="K5" i="64"/>
  <c r="F131" i="36"/>
  <c r="F128" i="36"/>
  <c r="B97" i="36"/>
  <c r="D97" i="36"/>
  <c r="E97" i="36"/>
  <c r="I97" i="36"/>
  <c r="J97" i="36"/>
  <c r="B98" i="36"/>
  <c r="D98" i="36"/>
  <c r="E98" i="36"/>
  <c r="I98" i="36"/>
  <c r="J98" i="36"/>
  <c r="B99" i="36"/>
  <c r="D99" i="36"/>
  <c r="E99" i="36"/>
  <c r="I99" i="36"/>
  <c r="J99" i="36"/>
  <c r="B100" i="36"/>
  <c r="D100" i="36"/>
  <c r="E100" i="36"/>
  <c r="I100" i="36"/>
  <c r="J100" i="36"/>
  <c r="B101" i="36"/>
  <c r="D101" i="36"/>
  <c r="E101" i="36"/>
  <c r="I101" i="36"/>
  <c r="J101" i="36"/>
  <c r="B102" i="36"/>
  <c r="D102" i="36"/>
  <c r="E102" i="36"/>
  <c r="I102" i="36"/>
  <c r="J102" i="36"/>
  <c r="B103" i="36"/>
  <c r="D103" i="36"/>
  <c r="E103" i="36"/>
  <c r="I103" i="36"/>
  <c r="J103" i="36"/>
  <c r="B104" i="36"/>
  <c r="D104" i="36"/>
  <c r="E104" i="36"/>
  <c r="I104" i="36"/>
  <c r="J104" i="36"/>
  <c r="B105" i="36"/>
  <c r="D105" i="36"/>
  <c r="E105" i="36"/>
  <c r="I105" i="36"/>
  <c r="J105" i="36"/>
  <c r="B106" i="36"/>
  <c r="D106" i="36"/>
  <c r="E106" i="36"/>
  <c r="I106" i="36"/>
  <c r="J106" i="36"/>
  <c r="B107" i="36"/>
  <c r="D107" i="36"/>
  <c r="E107" i="36"/>
  <c r="I107" i="36"/>
  <c r="J107" i="36"/>
  <c r="B108" i="36"/>
  <c r="D108" i="36"/>
  <c r="E108" i="36"/>
  <c r="I108" i="36"/>
  <c r="J108" i="36"/>
  <c r="B109" i="36"/>
  <c r="D109" i="36"/>
  <c r="E109" i="36"/>
  <c r="I109" i="36"/>
  <c r="J109" i="36"/>
  <c r="B110" i="36"/>
  <c r="D110" i="36"/>
  <c r="E110" i="36"/>
  <c r="I110" i="36"/>
  <c r="J110" i="36"/>
  <c r="B111" i="36"/>
  <c r="D111" i="36"/>
  <c r="E111" i="36"/>
  <c r="I111" i="36"/>
  <c r="J111" i="36"/>
  <c r="B112" i="36"/>
  <c r="D112" i="36"/>
  <c r="E112" i="36"/>
  <c r="I112" i="36"/>
  <c r="J112" i="36"/>
  <c r="B113" i="36"/>
  <c r="D113" i="36"/>
  <c r="E113" i="36"/>
  <c r="I113" i="36"/>
  <c r="J113" i="36"/>
  <c r="B114" i="36"/>
  <c r="D114" i="36"/>
  <c r="E114" i="36"/>
  <c r="I114" i="36"/>
  <c r="J114" i="36"/>
  <c r="B115" i="36"/>
  <c r="D115" i="36"/>
  <c r="E115" i="36"/>
  <c r="I115" i="36"/>
  <c r="J115" i="36"/>
  <c r="B116" i="36"/>
  <c r="D116" i="36"/>
  <c r="E116" i="36"/>
  <c r="I116" i="36"/>
  <c r="J116" i="36"/>
  <c r="B117" i="36"/>
  <c r="D117" i="36"/>
  <c r="E117" i="36"/>
  <c r="I117" i="36"/>
  <c r="J117" i="36"/>
  <c r="B118" i="36"/>
  <c r="D118" i="36"/>
  <c r="E118" i="36"/>
  <c r="I118" i="36"/>
  <c r="J118" i="36"/>
  <c r="B119" i="36"/>
  <c r="D119" i="36"/>
  <c r="E119" i="36"/>
  <c r="I119" i="36"/>
  <c r="J119" i="36"/>
  <c r="B120" i="36"/>
  <c r="D120" i="36"/>
  <c r="E120" i="36"/>
  <c r="I120" i="36"/>
  <c r="J120" i="36"/>
  <c r="B121" i="36"/>
  <c r="D121" i="36"/>
  <c r="E121" i="36"/>
  <c r="I121" i="36"/>
  <c r="J121" i="36"/>
  <c r="B122" i="36"/>
  <c r="D122" i="36"/>
  <c r="E122" i="36"/>
  <c r="I122" i="36"/>
  <c r="J122" i="36"/>
  <c r="B123" i="36"/>
  <c r="D123" i="36"/>
  <c r="E123" i="36"/>
  <c r="I123" i="36"/>
  <c r="J123" i="36"/>
  <c r="B96" i="36"/>
  <c r="C96" i="36"/>
  <c r="D96" i="36"/>
  <c r="E96" i="36"/>
  <c r="F96" i="36"/>
  <c r="G96" i="36"/>
  <c r="H96" i="36"/>
  <c r="I96" i="36"/>
  <c r="J96" i="36"/>
  <c r="A96" i="36"/>
  <c r="B94" i="36"/>
  <c r="A78" i="36"/>
  <c r="B78" i="36"/>
  <c r="C78" i="36"/>
  <c r="D78" i="36"/>
  <c r="E78" i="36"/>
  <c r="F78" i="36"/>
  <c r="G78" i="36"/>
  <c r="H78" i="36"/>
  <c r="I78" i="36"/>
  <c r="J78" i="36"/>
  <c r="B80" i="36"/>
  <c r="D80" i="36"/>
  <c r="E80" i="36"/>
  <c r="I80" i="36"/>
  <c r="J80" i="36"/>
  <c r="B81" i="36"/>
  <c r="D81" i="36"/>
  <c r="E81" i="36"/>
  <c r="I81" i="36"/>
  <c r="J81" i="36"/>
  <c r="B82" i="36"/>
  <c r="D82" i="36"/>
  <c r="E82" i="36"/>
  <c r="I82" i="36"/>
  <c r="J82" i="36"/>
  <c r="B83" i="36"/>
  <c r="D83" i="36"/>
  <c r="E83" i="36"/>
  <c r="I83" i="36"/>
  <c r="J83" i="36"/>
  <c r="B84" i="36"/>
  <c r="D84" i="36"/>
  <c r="E84" i="36"/>
  <c r="I84" i="36"/>
  <c r="J84" i="36"/>
  <c r="B85" i="36"/>
  <c r="D85" i="36"/>
  <c r="E85" i="36"/>
  <c r="I85" i="36"/>
  <c r="J85" i="36"/>
  <c r="B86" i="36"/>
  <c r="D86" i="36"/>
  <c r="E86" i="36"/>
  <c r="I86" i="36"/>
  <c r="J86" i="36"/>
  <c r="B87" i="36"/>
  <c r="D87" i="36"/>
  <c r="E87" i="36"/>
  <c r="I87" i="36"/>
  <c r="J87" i="36"/>
  <c r="B88" i="36"/>
  <c r="D88" i="36"/>
  <c r="E88" i="36"/>
  <c r="I88" i="36"/>
  <c r="J88" i="36"/>
  <c r="B89" i="36"/>
  <c r="D89" i="36"/>
  <c r="E89" i="36"/>
  <c r="I89" i="36"/>
  <c r="J89" i="36"/>
  <c r="B90" i="36"/>
  <c r="D90" i="36"/>
  <c r="E90" i="36"/>
  <c r="I90" i="36"/>
  <c r="J90" i="36"/>
  <c r="B91" i="36"/>
  <c r="E91" i="36"/>
  <c r="H91" i="36"/>
  <c r="B92" i="36"/>
  <c r="E92" i="36"/>
  <c r="H92" i="36"/>
  <c r="B93" i="36"/>
  <c r="E93" i="36"/>
  <c r="H93" i="36"/>
  <c r="B79" i="36"/>
  <c r="D79" i="36"/>
  <c r="E79" i="36"/>
  <c r="I79" i="36"/>
  <c r="J79" i="36"/>
  <c r="D72" i="36"/>
  <c r="B68" i="36"/>
  <c r="B65" i="36"/>
  <c r="B131" i="36" s="1"/>
  <c r="B62" i="36"/>
  <c r="B128" i="36" s="1"/>
  <c r="A56" i="36"/>
  <c r="A122" i="36" s="1"/>
  <c r="A57" i="36"/>
  <c r="A123" i="36" s="1"/>
  <c r="A55" i="36"/>
  <c r="A121" i="36" s="1"/>
  <c r="A54" i="36"/>
  <c r="A120" i="36" s="1"/>
  <c r="A53" i="36"/>
  <c r="A119" i="36" s="1"/>
  <c r="A52" i="36"/>
  <c r="A118" i="36" s="1"/>
  <c r="A51" i="36"/>
  <c r="A117" i="36" s="1"/>
  <c r="A50" i="36"/>
  <c r="A116" i="36" s="1"/>
  <c r="A49" i="36"/>
  <c r="A115" i="36" s="1"/>
  <c r="A48" i="36"/>
  <c r="A114" i="36" s="1"/>
  <c r="A47" i="36"/>
  <c r="A113" i="36" s="1"/>
  <c r="A46" i="36"/>
  <c r="A112" i="36" s="1"/>
  <c r="A44" i="36"/>
  <c r="A110" i="36" s="1"/>
  <c r="A45" i="36"/>
  <c r="A111" i="36" s="1"/>
  <c r="A43" i="36"/>
  <c r="A109" i="36" s="1"/>
  <c r="A41" i="36"/>
  <c r="A107" i="36" s="1"/>
  <c r="A42" i="36"/>
  <c r="A108" i="36" s="1"/>
  <c r="A40" i="36"/>
  <c r="A106" i="36" s="1"/>
  <c r="A38" i="36"/>
  <c r="A104" i="36" s="1"/>
  <c r="A39" i="36"/>
  <c r="A105" i="36" s="1"/>
  <c r="A37" i="36"/>
  <c r="A103" i="36" s="1"/>
  <c r="A35" i="36"/>
  <c r="A101" i="36" s="1"/>
  <c r="A36" i="36"/>
  <c r="A102" i="36" s="1"/>
  <c r="A34" i="36"/>
  <c r="A100" i="36" s="1"/>
  <c r="A32" i="36"/>
  <c r="A98" i="36" s="1"/>
  <c r="A33" i="36"/>
  <c r="A99" i="36" s="1"/>
  <c r="A31" i="36"/>
  <c r="A97" i="36" s="1"/>
  <c r="A21" i="36"/>
  <c r="A87" i="36" s="1"/>
  <c r="A22" i="36"/>
  <c r="A88" i="36" s="1"/>
  <c r="A23" i="36"/>
  <c r="A89" i="36" s="1"/>
  <c r="A24" i="36"/>
  <c r="A90" i="36" s="1"/>
  <c r="A17" i="36"/>
  <c r="A83" i="36" s="1"/>
  <c r="A18" i="36"/>
  <c r="A84" i="36" s="1"/>
  <c r="A85" i="36"/>
  <c r="A86" i="36"/>
  <c r="A16" i="36"/>
  <c r="A82" i="36" s="1"/>
  <c r="A14" i="36"/>
  <c r="A80" i="36" s="1"/>
  <c r="A15" i="36"/>
  <c r="A81" i="36" s="1"/>
  <c r="A13" i="36"/>
  <c r="A79" i="36" s="1"/>
  <c r="A13" i="10"/>
  <c r="A14" i="10"/>
  <c r="A16" i="15"/>
  <c r="A13" i="15"/>
  <c r="A13" i="61"/>
  <c r="A18" i="62"/>
  <c r="A19" i="62"/>
  <c r="A20" i="62"/>
  <c r="A17" i="62"/>
  <c r="A14" i="62"/>
  <c r="A15" i="62"/>
  <c r="A16" i="62"/>
  <c r="A13" i="62"/>
  <c r="A18" i="32"/>
  <c r="A19" i="32"/>
  <c r="A20" i="32"/>
  <c r="A17" i="32"/>
  <c r="A14" i="32"/>
  <c r="A15" i="32"/>
  <c r="A16" i="32"/>
  <c r="A13" i="32"/>
  <c r="A17" i="61"/>
  <c r="A14" i="61"/>
  <c r="A15" i="61"/>
  <c r="A16" i="61"/>
  <c r="A18" i="61"/>
  <c r="A18" i="15"/>
  <c r="A14" i="15"/>
  <c r="A15" i="15"/>
  <c r="A17" i="15"/>
  <c r="B29" i="36"/>
  <c r="B95" i="36" s="1"/>
  <c r="B11" i="36"/>
  <c r="B77" i="36" s="1"/>
  <c r="C2" i="58"/>
  <c r="C2" i="10"/>
  <c r="B1" i="29"/>
  <c r="C2" i="70" s="1"/>
  <c r="C67" i="70" s="1"/>
  <c r="D4" i="68" l="1"/>
  <c r="D69" i="68" s="1"/>
  <c r="D4" i="67"/>
  <c r="D68" i="67" s="1"/>
  <c r="D4" i="64"/>
  <c r="D70" i="64" s="1"/>
  <c r="A21" i="67"/>
  <c r="A85" i="67" s="1"/>
  <c r="C22" i="67"/>
  <c r="C86" i="67" s="1"/>
  <c r="C2" i="68"/>
  <c r="C67" i="68" s="1"/>
  <c r="C2" i="64"/>
  <c r="C68" i="64" s="1"/>
  <c r="D5" i="46"/>
  <c r="C2" i="66"/>
  <c r="C66" i="66" s="1"/>
  <c r="C2" i="67"/>
  <c r="C66" i="67" s="1"/>
  <c r="C2" i="21"/>
  <c r="C67" i="21" s="1"/>
  <c r="C1" i="52"/>
  <c r="C2" i="50"/>
  <c r="C1" i="48"/>
  <c r="C2" i="51"/>
  <c r="C2" i="45"/>
  <c r="D5" i="47"/>
  <c r="C2" i="36"/>
  <c r="C2" i="19"/>
  <c r="C67" i="19" s="1"/>
  <c r="G22" i="67"/>
  <c r="G86" i="67" s="1"/>
  <c r="D86" i="66"/>
  <c r="A27" i="64"/>
  <c r="A93" i="64" s="1"/>
  <c r="C25" i="64"/>
  <c r="C91" i="64" s="1"/>
  <c r="A22" i="67"/>
  <c r="A86" i="67" s="1"/>
  <c r="G21" i="67"/>
  <c r="G85" i="67" s="1"/>
  <c r="D85" i="67"/>
  <c r="D85" i="66"/>
  <c r="G25" i="64"/>
  <c r="G91" i="64" s="1"/>
  <c r="A25" i="64"/>
  <c r="A91" i="64" s="1"/>
  <c r="F21" i="66"/>
  <c r="F85" i="66" s="1"/>
  <c r="F80" i="66"/>
  <c r="F21" i="68"/>
  <c r="F86" i="68" s="1"/>
  <c r="G21" i="68"/>
  <c r="G86" i="68" s="1"/>
  <c r="D87" i="68"/>
  <c r="C21" i="68"/>
  <c r="C86" i="68" s="1"/>
  <c r="F22" i="68"/>
  <c r="F87" i="68" s="1"/>
  <c r="C22" i="68"/>
  <c r="C87" i="68" s="1"/>
  <c r="G22" i="68"/>
  <c r="G87" i="68" s="1"/>
  <c r="F22" i="67"/>
  <c r="F86" i="67" s="1"/>
  <c r="F21" i="67"/>
  <c r="F85" i="67" s="1"/>
  <c r="C21" i="66"/>
  <c r="C85" i="66" s="1"/>
  <c r="C22" i="66"/>
  <c r="C86" i="66" s="1"/>
  <c r="F22" i="66"/>
  <c r="F86" i="66" s="1"/>
  <c r="A21" i="66"/>
  <c r="A85" i="66" s="1"/>
  <c r="G21" i="66"/>
  <c r="G85" i="66" s="1"/>
  <c r="F90" i="64"/>
  <c r="F26" i="64"/>
  <c r="F92" i="64" s="1"/>
  <c r="F82" i="64"/>
  <c r="C26" i="64"/>
  <c r="C92" i="64" s="1"/>
  <c r="G27" i="64"/>
  <c r="G93" i="64" s="1"/>
  <c r="D91" i="64"/>
  <c r="D92" i="64"/>
  <c r="D93" i="64"/>
  <c r="F135" i="63"/>
  <c r="F132" i="63"/>
  <c r="E95" i="63"/>
  <c r="D95" i="63"/>
  <c r="B95" i="63"/>
  <c r="E94" i="63"/>
  <c r="D94" i="63"/>
  <c r="B94" i="63"/>
  <c r="E93" i="63"/>
  <c r="D93" i="63"/>
  <c r="B93" i="63"/>
  <c r="E92" i="63"/>
  <c r="D92" i="63"/>
  <c r="B92" i="63"/>
  <c r="E91" i="63"/>
  <c r="D91" i="63"/>
  <c r="B91" i="63"/>
  <c r="E90" i="63"/>
  <c r="D90" i="63"/>
  <c r="B90" i="63"/>
  <c r="E89" i="63"/>
  <c r="D89" i="63"/>
  <c r="B89" i="63"/>
  <c r="E88" i="63"/>
  <c r="D88" i="63"/>
  <c r="B88" i="63"/>
  <c r="E87" i="63"/>
  <c r="D87" i="63"/>
  <c r="B87" i="63"/>
  <c r="E86" i="63"/>
  <c r="D86" i="63"/>
  <c r="B86" i="63"/>
  <c r="E85" i="63"/>
  <c r="D85" i="63"/>
  <c r="B85" i="63"/>
  <c r="E84" i="63"/>
  <c r="D84" i="63"/>
  <c r="B84" i="63"/>
  <c r="E83" i="63"/>
  <c r="D83" i="63"/>
  <c r="B83" i="63"/>
  <c r="E82" i="63"/>
  <c r="D82" i="63"/>
  <c r="B82" i="63"/>
  <c r="E81" i="63"/>
  <c r="D81" i="63"/>
  <c r="B81" i="63"/>
  <c r="H80" i="63"/>
  <c r="G80" i="63"/>
  <c r="F80" i="63"/>
  <c r="E80" i="63"/>
  <c r="D80" i="63"/>
  <c r="C80" i="63"/>
  <c r="B80" i="63"/>
  <c r="A80" i="63"/>
  <c r="F77" i="63"/>
  <c r="D77" i="63"/>
  <c r="B77" i="63"/>
  <c r="B76" i="63"/>
  <c r="B75" i="63"/>
  <c r="D74" i="63"/>
  <c r="B74" i="63"/>
  <c r="I72" i="63"/>
  <c r="G72" i="63"/>
  <c r="B72" i="63"/>
  <c r="B70" i="63"/>
  <c r="B135" i="63"/>
  <c r="B132" i="63"/>
  <c r="H27" i="63"/>
  <c r="H95" i="63" s="1"/>
  <c r="G27" i="63"/>
  <c r="G95" i="63" s="1"/>
  <c r="F27" i="63"/>
  <c r="F95" i="63" s="1"/>
  <c r="C27" i="63"/>
  <c r="C95" i="63" s="1"/>
  <c r="A95" i="63"/>
  <c r="H26" i="63"/>
  <c r="H94" i="63" s="1"/>
  <c r="G26" i="63"/>
  <c r="G94" i="63" s="1"/>
  <c r="F26" i="63"/>
  <c r="F94" i="63" s="1"/>
  <c r="C26" i="63"/>
  <c r="C94" i="63" s="1"/>
  <c r="A94" i="63"/>
  <c r="H25" i="63"/>
  <c r="H93" i="63" s="1"/>
  <c r="G25" i="63"/>
  <c r="G93" i="63" s="1"/>
  <c r="F25" i="63"/>
  <c r="F93" i="63" s="1"/>
  <c r="C25" i="63"/>
  <c r="C93" i="63" s="1"/>
  <c r="A93" i="63"/>
  <c r="H24" i="63"/>
  <c r="H92" i="63" s="1"/>
  <c r="G24" i="63"/>
  <c r="G92" i="63" s="1"/>
  <c r="F24" i="63"/>
  <c r="F92" i="63" s="1"/>
  <c r="C24" i="63"/>
  <c r="C92" i="63" s="1"/>
  <c r="A92" i="63"/>
  <c r="H23" i="63"/>
  <c r="H91" i="63" s="1"/>
  <c r="G23" i="63"/>
  <c r="G91" i="63" s="1"/>
  <c r="F23" i="63"/>
  <c r="F91" i="63" s="1"/>
  <c r="C23" i="63"/>
  <c r="C91" i="63" s="1"/>
  <c r="A91" i="63"/>
  <c r="H22" i="63"/>
  <c r="H90" i="63" s="1"/>
  <c r="G22" i="63"/>
  <c r="G90" i="63" s="1"/>
  <c r="F22" i="63"/>
  <c r="F90" i="63" s="1"/>
  <c r="C22" i="63"/>
  <c r="C90" i="63" s="1"/>
  <c r="A90" i="63"/>
  <c r="H21" i="63"/>
  <c r="H89" i="63" s="1"/>
  <c r="G21" i="63"/>
  <c r="G89" i="63" s="1"/>
  <c r="F21" i="63"/>
  <c r="F89" i="63" s="1"/>
  <c r="C21" i="63"/>
  <c r="C89" i="63" s="1"/>
  <c r="A89" i="63"/>
  <c r="H20" i="63"/>
  <c r="H88" i="63" s="1"/>
  <c r="G20" i="63"/>
  <c r="G88" i="63" s="1"/>
  <c r="F20" i="63"/>
  <c r="F88" i="63" s="1"/>
  <c r="C20" i="63"/>
  <c r="C88" i="63" s="1"/>
  <c r="A88" i="63"/>
  <c r="H19" i="63"/>
  <c r="H87" i="63" s="1"/>
  <c r="G19" i="63"/>
  <c r="G87" i="63" s="1"/>
  <c r="F19" i="63"/>
  <c r="F87" i="63" s="1"/>
  <c r="C19" i="63"/>
  <c r="C87" i="63" s="1"/>
  <c r="A87" i="63"/>
  <c r="H18" i="63"/>
  <c r="H86" i="63" s="1"/>
  <c r="G18" i="63"/>
  <c r="G86" i="63" s="1"/>
  <c r="F18" i="63"/>
  <c r="F86" i="63" s="1"/>
  <c r="C18" i="63"/>
  <c r="C86" i="63" s="1"/>
  <c r="A86" i="63"/>
  <c r="H17" i="63"/>
  <c r="H85" i="63" s="1"/>
  <c r="G17" i="63"/>
  <c r="G85" i="63" s="1"/>
  <c r="F17" i="63"/>
  <c r="F85" i="63" s="1"/>
  <c r="C17" i="63"/>
  <c r="C85" i="63" s="1"/>
  <c r="A85" i="63"/>
  <c r="H16" i="63"/>
  <c r="H84" i="63" s="1"/>
  <c r="G16" i="63"/>
  <c r="G84" i="63" s="1"/>
  <c r="F16" i="63"/>
  <c r="F84" i="63" s="1"/>
  <c r="C16" i="63"/>
  <c r="C84" i="63" s="1"/>
  <c r="A84" i="63"/>
  <c r="H15" i="63"/>
  <c r="H83" i="63" s="1"/>
  <c r="G15" i="63"/>
  <c r="G83" i="63" s="1"/>
  <c r="F15" i="63"/>
  <c r="F83" i="63" s="1"/>
  <c r="C15" i="63"/>
  <c r="C83" i="63" s="1"/>
  <c r="A83" i="63"/>
  <c r="H14" i="63"/>
  <c r="H82" i="63" s="1"/>
  <c r="G14" i="63"/>
  <c r="G82" i="63" s="1"/>
  <c r="F14" i="63"/>
  <c r="F82" i="63" s="1"/>
  <c r="C14" i="63"/>
  <c r="C82" i="63" s="1"/>
  <c r="A82" i="63"/>
  <c r="H13" i="63"/>
  <c r="H81" i="63" s="1"/>
  <c r="G13" i="63"/>
  <c r="G81" i="63" s="1"/>
  <c r="F13" i="63"/>
  <c r="F81" i="63" s="1"/>
  <c r="C13" i="63"/>
  <c r="C81" i="63" s="1"/>
  <c r="A81" i="63"/>
  <c r="B11" i="63"/>
  <c r="B79" i="63" s="1"/>
  <c r="L5" i="63"/>
  <c r="K5" i="63"/>
  <c r="D4" i="63" s="1"/>
  <c r="D72" i="63" s="1"/>
  <c r="F135" i="23"/>
  <c r="F132" i="23"/>
  <c r="B82" i="23"/>
  <c r="D82" i="23"/>
  <c r="E82" i="23"/>
  <c r="B83" i="23"/>
  <c r="D83" i="23"/>
  <c r="E83" i="23"/>
  <c r="B84" i="23"/>
  <c r="D84" i="23"/>
  <c r="E84" i="23"/>
  <c r="B85" i="23"/>
  <c r="D85" i="23"/>
  <c r="E85" i="23"/>
  <c r="B86" i="23"/>
  <c r="D86" i="23"/>
  <c r="E86" i="23"/>
  <c r="B87" i="23"/>
  <c r="D87" i="23"/>
  <c r="E87" i="23"/>
  <c r="B88" i="23"/>
  <c r="D88" i="23"/>
  <c r="E88" i="23"/>
  <c r="B89" i="23"/>
  <c r="D89" i="23"/>
  <c r="E89" i="23"/>
  <c r="B90" i="23"/>
  <c r="D90" i="23"/>
  <c r="E90" i="23"/>
  <c r="B91" i="23"/>
  <c r="D91" i="23"/>
  <c r="E91" i="23"/>
  <c r="B92" i="23"/>
  <c r="D92" i="23"/>
  <c r="E92" i="23"/>
  <c r="B93" i="23"/>
  <c r="D93" i="23"/>
  <c r="E93" i="23"/>
  <c r="B94" i="23"/>
  <c r="D94" i="23"/>
  <c r="E94" i="23"/>
  <c r="B95" i="23"/>
  <c r="D95" i="23"/>
  <c r="E95" i="23"/>
  <c r="B81" i="23"/>
  <c r="D81" i="23"/>
  <c r="E81" i="23"/>
  <c r="B80" i="23"/>
  <c r="C80" i="23"/>
  <c r="D80" i="23"/>
  <c r="E80" i="23"/>
  <c r="F80" i="23"/>
  <c r="G80" i="23"/>
  <c r="H80" i="23"/>
  <c r="A80" i="23"/>
  <c r="F77" i="23"/>
  <c r="D77" i="23"/>
  <c r="D74" i="23"/>
  <c r="B75" i="23"/>
  <c r="B76" i="23"/>
  <c r="B77" i="23"/>
  <c r="B74" i="23"/>
  <c r="I72" i="23"/>
  <c r="G72" i="23"/>
  <c r="B72" i="23"/>
  <c r="B70" i="23"/>
  <c r="B67" i="23"/>
  <c r="B135" i="23" s="1"/>
  <c r="B64" i="23"/>
  <c r="B132" i="23" s="1"/>
  <c r="A94" i="23"/>
  <c r="A95" i="23"/>
  <c r="A93" i="23"/>
  <c r="A91" i="23"/>
  <c r="A92" i="23"/>
  <c r="A90" i="23"/>
  <c r="A88" i="23"/>
  <c r="A89" i="23"/>
  <c r="A87" i="23"/>
  <c r="A85" i="23"/>
  <c r="A86" i="23"/>
  <c r="A84" i="23"/>
  <c r="A82" i="23"/>
  <c r="A83" i="23"/>
  <c r="A81" i="23"/>
  <c r="B11" i="23"/>
  <c r="B79" i="23" s="1"/>
  <c r="B11" i="32"/>
  <c r="F129" i="62" l="1"/>
  <c r="F126" i="62"/>
  <c r="B86" i="62"/>
  <c r="E85" i="62"/>
  <c r="D85" i="62"/>
  <c r="B85" i="62"/>
  <c r="E84" i="62"/>
  <c r="D84" i="62"/>
  <c r="B84" i="62"/>
  <c r="E83" i="62"/>
  <c r="D83" i="62"/>
  <c r="B83" i="62"/>
  <c r="E82" i="62"/>
  <c r="D82" i="62"/>
  <c r="B82" i="62"/>
  <c r="E81" i="62"/>
  <c r="D81" i="62"/>
  <c r="B81" i="62"/>
  <c r="E80" i="62"/>
  <c r="D80" i="62"/>
  <c r="B80" i="62"/>
  <c r="E79" i="62"/>
  <c r="D79" i="62"/>
  <c r="B79" i="62"/>
  <c r="E78" i="62"/>
  <c r="D78" i="62"/>
  <c r="B78" i="62"/>
  <c r="H77" i="62"/>
  <c r="G77" i="62"/>
  <c r="F77" i="62"/>
  <c r="E77" i="62"/>
  <c r="D77" i="62"/>
  <c r="C77" i="62"/>
  <c r="B77" i="62"/>
  <c r="A77" i="62"/>
  <c r="D74" i="62"/>
  <c r="B74" i="62"/>
  <c r="B73" i="62"/>
  <c r="B72" i="62"/>
  <c r="D71" i="62"/>
  <c r="B71" i="62"/>
  <c r="I69" i="62"/>
  <c r="B69" i="62"/>
  <c r="B67" i="62"/>
  <c r="B64" i="62"/>
  <c r="B129" i="62" s="1"/>
  <c r="B61" i="62"/>
  <c r="B126" i="62" s="1"/>
  <c r="H20" i="62"/>
  <c r="H85" i="62" s="1"/>
  <c r="A85" i="62"/>
  <c r="H19" i="62"/>
  <c r="H84" i="62" s="1"/>
  <c r="A84" i="62"/>
  <c r="H18" i="62"/>
  <c r="H83" i="62" s="1"/>
  <c r="A83" i="62"/>
  <c r="H17" i="62"/>
  <c r="H82" i="62" s="1"/>
  <c r="A82" i="62"/>
  <c r="H16" i="62"/>
  <c r="H81" i="62" s="1"/>
  <c r="A81" i="62"/>
  <c r="H15" i="62"/>
  <c r="H80" i="62" s="1"/>
  <c r="A80" i="62"/>
  <c r="H14" i="62"/>
  <c r="H79" i="62" s="1"/>
  <c r="A79" i="62"/>
  <c r="H13" i="62"/>
  <c r="H78" i="62" s="1"/>
  <c r="A78" i="62"/>
  <c r="B11" i="62"/>
  <c r="B76" i="62" s="1"/>
  <c r="L5" i="62"/>
  <c r="K5" i="62"/>
  <c r="F126" i="32"/>
  <c r="F129" i="32"/>
  <c r="F129" i="61"/>
  <c r="F126" i="61"/>
  <c r="F129" i="15"/>
  <c r="F126" i="15"/>
  <c r="F133" i="58"/>
  <c r="F130" i="58"/>
  <c r="F133" i="10"/>
  <c r="B86" i="32"/>
  <c r="B79" i="32"/>
  <c r="D79" i="32"/>
  <c r="E79" i="32"/>
  <c r="B80" i="32"/>
  <c r="D80" i="32"/>
  <c r="E80" i="32"/>
  <c r="B81" i="32"/>
  <c r="D81" i="32"/>
  <c r="E81" i="32"/>
  <c r="B82" i="32"/>
  <c r="D82" i="32"/>
  <c r="E82" i="32"/>
  <c r="B83" i="32"/>
  <c r="D83" i="32"/>
  <c r="E83" i="32"/>
  <c r="B84" i="32"/>
  <c r="D84" i="32"/>
  <c r="E84" i="32"/>
  <c r="B85" i="32"/>
  <c r="D85" i="32"/>
  <c r="E85" i="32"/>
  <c r="B78" i="32"/>
  <c r="D78" i="32"/>
  <c r="E78" i="32"/>
  <c r="B77" i="32"/>
  <c r="C77" i="32"/>
  <c r="D77" i="32"/>
  <c r="E77" i="32"/>
  <c r="F77" i="32"/>
  <c r="G77" i="32"/>
  <c r="H77" i="32"/>
  <c r="A77" i="32"/>
  <c r="D74" i="32"/>
  <c r="B72" i="32"/>
  <c r="B73" i="32"/>
  <c r="B74" i="32"/>
  <c r="B71" i="32"/>
  <c r="B69" i="32"/>
  <c r="B67" i="32"/>
  <c r="B76" i="32"/>
  <c r="D71" i="32"/>
  <c r="I69" i="32"/>
  <c r="D4" i="62" l="1"/>
  <c r="D69" i="62" s="1"/>
  <c r="B85" i="61"/>
  <c r="H84" i="61"/>
  <c r="E84" i="61"/>
  <c r="B84" i="61"/>
  <c r="E83" i="61"/>
  <c r="D83" i="61"/>
  <c r="B83" i="61"/>
  <c r="A83" i="61"/>
  <c r="E82" i="61"/>
  <c r="D82" i="61"/>
  <c r="B82" i="61"/>
  <c r="E81" i="61"/>
  <c r="D81" i="61"/>
  <c r="B81" i="61"/>
  <c r="A81" i="61"/>
  <c r="E80" i="61"/>
  <c r="D80" i="61"/>
  <c r="B80" i="61"/>
  <c r="A80" i="61"/>
  <c r="E79" i="61"/>
  <c r="D79" i="61"/>
  <c r="B79" i="61"/>
  <c r="A79" i="61"/>
  <c r="E78" i="61"/>
  <c r="D78" i="61"/>
  <c r="B78" i="61"/>
  <c r="D71" i="61"/>
  <c r="I69" i="61"/>
  <c r="B67" i="61"/>
  <c r="B64" i="61"/>
  <c r="B61" i="61"/>
  <c r="D19" i="61"/>
  <c r="H18" i="61"/>
  <c r="H83" i="61" s="1"/>
  <c r="G18" i="61"/>
  <c r="G83" i="61" s="1"/>
  <c r="F18" i="61"/>
  <c r="F19" i="61" s="1"/>
  <c r="F84" i="61" s="1"/>
  <c r="C18" i="61"/>
  <c r="C83" i="61" s="1"/>
  <c r="H17" i="61"/>
  <c r="H82" i="61" s="1"/>
  <c r="G17" i="61"/>
  <c r="G82" i="61" s="1"/>
  <c r="F17" i="61"/>
  <c r="F82" i="61" s="1"/>
  <c r="C17" i="61"/>
  <c r="C82" i="61" s="1"/>
  <c r="A82" i="61"/>
  <c r="H16" i="61"/>
  <c r="H81" i="61" s="1"/>
  <c r="G16" i="61"/>
  <c r="G81" i="61" s="1"/>
  <c r="F16" i="61"/>
  <c r="F81" i="61" s="1"/>
  <c r="C16" i="61"/>
  <c r="C81" i="61" s="1"/>
  <c r="H15" i="61"/>
  <c r="H80" i="61" s="1"/>
  <c r="G15" i="61"/>
  <c r="G80" i="61" s="1"/>
  <c r="F15" i="61"/>
  <c r="F80" i="61" s="1"/>
  <c r="C15" i="61"/>
  <c r="C80" i="61" s="1"/>
  <c r="H14" i="61"/>
  <c r="H79" i="61" s="1"/>
  <c r="G14" i="61"/>
  <c r="G79" i="61" s="1"/>
  <c r="F14" i="61"/>
  <c r="F79" i="61" s="1"/>
  <c r="C14" i="61"/>
  <c r="C79" i="61" s="1"/>
  <c r="H13" i="61"/>
  <c r="H78" i="61" s="1"/>
  <c r="G13" i="61"/>
  <c r="G78" i="61" s="1"/>
  <c r="F13" i="61"/>
  <c r="F78" i="61" s="1"/>
  <c r="C13" i="61"/>
  <c r="C78" i="61" s="1"/>
  <c r="A78" i="61"/>
  <c r="B11" i="61"/>
  <c r="B76" i="61" s="1"/>
  <c r="L5" i="61"/>
  <c r="K5" i="61"/>
  <c r="D4" i="61" s="1"/>
  <c r="D69" i="61" s="1"/>
  <c r="A83" i="32"/>
  <c r="A84" i="32"/>
  <c r="A85" i="32"/>
  <c r="A82" i="32"/>
  <c r="A80" i="32"/>
  <c r="A81" i="32"/>
  <c r="A79" i="32"/>
  <c r="A78" i="32"/>
  <c r="B64" i="32"/>
  <c r="B129" i="32" s="1"/>
  <c r="B126" i="32"/>
  <c r="B78" i="15"/>
  <c r="D78" i="15"/>
  <c r="E78" i="15"/>
  <c r="B79" i="15"/>
  <c r="D79" i="15"/>
  <c r="E79" i="15"/>
  <c r="B80" i="15"/>
  <c r="D80" i="15"/>
  <c r="E80" i="15"/>
  <c r="B81" i="15"/>
  <c r="D81" i="15"/>
  <c r="E81" i="15"/>
  <c r="B82" i="15"/>
  <c r="D82" i="15"/>
  <c r="E82" i="15"/>
  <c r="B83" i="15"/>
  <c r="D83" i="15"/>
  <c r="E83" i="15"/>
  <c r="B84" i="15"/>
  <c r="E84" i="15"/>
  <c r="H84" i="15"/>
  <c r="H13" i="15"/>
  <c r="H78" i="15" s="1"/>
  <c r="A83" i="15"/>
  <c r="A79" i="15"/>
  <c r="A80" i="15"/>
  <c r="A81" i="15"/>
  <c r="A82" i="15"/>
  <c r="A78" i="15"/>
  <c r="D84" i="61" l="1"/>
  <c r="A19" i="61"/>
  <c r="A84" i="61" s="1"/>
  <c r="F83" i="61"/>
  <c r="G19" i="61"/>
  <c r="G84" i="61" s="1"/>
  <c r="C19" i="61"/>
  <c r="C84" i="61" s="1"/>
  <c r="A58" i="58"/>
  <c r="A57" i="58"/>
  <c r="A56" i="58"/>
  <c r="A55" i="58"/>
  <c r="A54" i="58"/>
  <c r="A53" i="58"/>
  <c r="A52" i="58"/>
  <c r="A51" i="58"/>
  <c r="A50" i="58"/>
  <c r="A49" i="58"/>
  <c r="A48" i="58"/>
  <c r="A47" i="58"/>
  <c r="A46" i="58"/>
  <c r="A45" i="58"/>
  <c r="A44" i="58"/>
  <c r="A43" i="58"/>
  <c r="A42" i="58"/>
  <c r="A41" i="58"/>
  <c r="A40" i="58"/>
  <c r="A39" i="58"/>
  <c r="A38" i="58"/>
  <c r="A37" i="58"/>
  <c r="A36" i="58"/>
  <c r="A35" i="58"/>
  <c r="A34" i="58"/>
  <c r="A33" i="58"/>
  <c r="A32" i="58"/>
  <c r="A31" i="58"/>
  <c r="A30" i="58"/>
  <c r="A29" i="58"/>
  <c r="A28" i="58"/>
  <c r="A27" i="58"/>
  <c r="A26" i="58"/>
  <c r="A20" i="58"/>
  <c r="A19" i="58"/>
  <c r="A18" i="58"/>
  <c r="A17" i="58"/>
  <c r="A16" i="58"/>
  <c r="A15" i="58"/>
  <c r="A14" i="58"/>
  <c r="A13" i="58"/>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0" i="10"/>
  <c r="A19" i="10"/>
  <c r="A18" i="10"/>
  <c r="A17" i="10"/>
  <c r="A16" i="10"/>
  <c r="A15" i="10"/>
  <c r="E125" i="58" l="1"/>
  <c r="D125" i="58"/>
  <c r="B125" i="58"/>
  <c r="E124" i="58"/>
  <c r="D124" i="58"/>
  <c r="B124" i="58"/>
  <c r="E123" i="58"/>
  <c r="D123" i="58"/>
  <c r="B123" i="58"/>
  <c r="E122" i="58"/>
  <c r="D122" i="58"/>
  <c r="B122" i="58"/>
  <c r="E121" i="58"/>
  <c r="D121" i="58"/>
  <c r="B121" i="58"/>
  <c r="E120" i="58"/>
  <c r="D120" i="58"/>
  <c r="B120" i="58"/>
  <c r="E119" i="58"/>
  <c r="D119" i="58"/>
  <c r="B119" i="58"/>
  <c r="E118" i="58"/>
  <c r="D118" i="58"/>
  <c r="B118" i="58"/>
  <c r="E117" i="58"/>
  <c r="D117" i="58"/>
  <c r="B117" i="58"/>
  <c r="E116" i="58"/>
  <c r="D116" i="58"/>
  <c r="B116" i="58"/>
  <c r="E115" i="58"/>
  <c r="D115" i="58"/>
  <c r="B115" i="58"/>
  <c r="E114" i="58"/>
  <c r="D114" i="58"/>
  <c r="B114" i="58"/>
  <c r="E113" i="58"/>
  <c r="D113" i="58"/>
  <c r="B113" i="58"/>
  <c r="E112" i="58"/>
  <c r="D112" i="58"/>
  <c r="B112" i="58"/>
  <c r="E111" i="58"/>
  <c r="D111" i="58"/>
  <c r="B111" i="58"/>
  <c r="E110" i="58"/>
  <c r="D110" i="58"/>
  <c r="B110" i="58"/>
  <c r="E109" i="58"/>
  <c r="D109" i="58"/>
  <c r="B109" i="58"/>
  <c r="E108" i="58"/>
  <c r="D108" i="58"/>
  <c r="B108" i="58"/>
  <c r="E107" i="58"/>
  <c r="D107" i="58"/>
  <c r="B107" i="58"/>
  <c r="E106" i="58"/>
  <c r="D106" i="58"/>
  <c r="B106" i="58"/>
  <c r="E105" i="58"/>
  <c r="D105" i="58"/>
  <c r="B105" i="58"/>
  <c r="E104" i="58"/>
  <c r="D104" i="58"/>
  <c r="B104" i="58"/>
  <c r="E103" i="58"/>
  <c r="D103" i="58"/>
  <c r="B103" i="58"/>
  <c r="E102" i="58"/>
  <c r="D102" i="58"/>
  <c r="B102" i="58"/>
  <c r="E101" i="58"/>
  <c r="D101" i="58"/>
  <c r="B101" i="58"/>
  <c r="E100" i="58"/>
  <c r="D100" i="58"/>
  <c r="B100" i="58"/>
  <c r="E99" i="58"/>
  <c r="D99" i="58"/>
  <c r="B99" i="58"/>
  <c r="E98" i="58"/>
  <c r="D98" i="58"/>
  <c r="B98" i="58"/>
  <c r="E97" i="58"/>
  <c r="D97" i="58"/>
  <c r="B97" i="58"/>
  <c r="E96" i="58"/>
  <c r="D96" i="58"/>
  <c r="B96" i="58"/>
  <c r="E95" i="58"/>
  <c r="D95" i="58"/>
  <c r="B95" i="58"/>
  <c r="E94" i="58"/>
  <c r="D94" i="58"/>
  <c r="B94" i="58"/>
  <c r="E93" i="58"/>
  <c r="D93" i="58"/>
  <c r="B93" i="58"/>
  <c r="H89" i="58"/>
  <c r="E89" i="58"/>
  <c r="B89" i="58"/>
  <c r="H88" i="58"/>
  <c r="E88" i="58"/>
  <c r="B88" i="58"/>
  <c r="E87" i="58"/>
  <c r="D87" i="58"/>
  <c r="B87" i="58"/>
  <c r="E86" i="58"/>
  <c r="D86" i="58"/>
  <c r="B86" i="58"/>
  <c r="E85" i="58"/>
  <c r="D85" i="58"/>
  <c r="B85" i="58"/>
  <c r="E84" i="58"/>
  <c r="D84" i="58"/>
  <c r="B84" i="58"/>
  <c r="E83" i="58"/>
  <c r="D83" i="58"/>
  <c r="B83" i="58"/>
  <c r="E82" i="58"/>
  <c r="D82" i="58"/>
  <c r="B82" i="58"/>
  <c r="E81" i="58"/>
  <c r="D81" i="58"/>
  <c r="B81" i="58"/>
  <c r="E80" i="58"/>
  <c r="D80" i="58"/>
  <c r="B80" i="58"/>
  <c r="D73" i="58"/>
  <c r="I71" i="58"/>
  <c r="B69" i="58"/>
  <c r="B66" i="58"/>
  <c r="H58" i="58"/>
  <c r="H125" i="58" s="1"/>
  <c r="G58" i="58"/>
  <c r="G125" i="58" s="1"/>
  <c r="F58" i="58"/>
  <c r="F125" i="58" s="1"/>
  <c r="C58" i="58"/>
  <c r="C125" i="58" s="1"/>
  <c r="A125" i="58"/>
  <c r="H57" i="58"/>
  <c r="H124" i="58" s="1"/>
  <c r="G57" i="58"/>
  <c r="G124" i="58" s="1"/>
  <c r="F57" i="58"/>
  <c r="F124" i="58" s="1"/>
  <c r="C57" i="58"/>
  <c r="C124" i="58" s="1"/>
  <c r="A124" i="58"/>
  <c r="H56" i="58"/>
  <c r="H123" i="58" s="1"/>
  <c r="G56" i="58"/>
  <c r="G123" i="58" s="1"/>
  <c r="F56" i="58"/>
  <c r="F123" i="58" s="1"/>
  <c r="C56" i="58"/>
  <c r="C123" i="58" s="1"/>
  <c r="A123" i="58"/>
  <c r="H55" i="58"/>
  <c r="H122" i="58" s="1"/>
  <c r="F55" i="58"/>
  <c r="F122" i="58" s="1"/>
  <c r="A122" i="58"/>
  <c r="H54" i="58"/>
  <c r="H121" i="58" s="1"/>
  <c r="F54" i="58"/>
  <c r="F121" i="58" s="1"/>
  <c r="A121" i="58"/>
  <c r="H53" i="58"/>
  <c r="H120" i="58" s="1"/>
  <c r="F53" i="58"/>
  <c r="F120" i="58" s="1"/>
  <c r="A120" i="58"/>
  <c r="H52" i="58"/>
  <c r="H119" i="58" s="1"/>
  <c r="F52" i="58"/>
  <c r="F119" i="58" s="1"/>
  <c r="A119" i="58"/>
  <c r="H51" i="58"/>
  <c r="H118" i="58" s="1"/>
  <c r="F51" i="58"/>
  <c r="F118" i="58" s="1"/>
  <c r="A118" i="58"/>
  <c r="H50" i="58"/>
  <c r="H117" i="58" s="1"/>
  <c r="F50" i="58"/>
  <c r="F117" i="58" s="1"/>
  <c r="A117" i="58"/>
  <c r="H49" i="58"/>
  <c r="H116" i="58" s="1"/>
  <c r="F49" i="58"/>
  <c r="F116" i="58" s="1"/>
  <c r="A116" i="58"/>
  <c r="H48" i="58"/>
  <c r="H115" i="58" s="1"/>
  <c r="F48" i="58"/>
  <c r="F115" i="58" s="1"/>
  <c r="A115" i="58"/>
  <c r="H47" i="58"/>
  <c r="H114" i="58" s="1"/>
  <c r="F47" i="58"/>
  <c r="F114" i="58" s="1"/>
  <c r="A114" i="58"/>
  <c r="H46" i="58"/>
  <c r="H113" i="58" s="1"/>
  <c r="F46" i="58"/>
  <c r="F113" i="58" s="1"/>
  <c r="A113" i="58"/>
  <c r="H45" i="58"/>
  <c r="H112" i="58" s="1"/>
  <c r="F45" i="58"/>
  <c r="F112" i="58" s="1"/>
  <c r="A112" i="58"/>
  <c r="H44" i="58"/>
  <c r="H111" i="58" s="1"/>
  <c r="F44" i="58"/>
  <c r="F111" i="58" s="1"/>
  <c r="A111" i="58"/>
  <c r="H43" i="58"/>
  <c r="H110" i="58" s="1"/>
  <c r="F43" i="58"/>
  <c r="F110" i="58" s="1"/>
  <c r="A110" i="58"/>
  <c r="H42" i="58"/>
  <c r="H109" i="58" s="1"/>
  <c r="F42" i="58"/>
  <c r="F109" i="58" s="1"/>
  <c r="A109" i="58"/>
  <c r="H41" i="58"/>
  <c r="H108" i="58" s="1"/>
  <c r="F41" i="58"/>
  <c r="F108" i="58" s="1"/>
  <c r="A108" i="58"/>
  <c r="H40" i="58"/>
  <c r="H107" i="58" s="1"/>
  <c r="G40" i="58"/>
  <c r="G107" i="58" s="1"/>
  <c r="F40" i="58"/>
  <c r="F107" i="58" s="1"/>
  <c r="A107" i="58"/>
  <c r="H39" i="58"/>
  <c r="H106" i="58" s="1"/>
  <c r="G39" i="58"/>
  <c r="G106" i="58" s="1"/>
  <c r="F39" i="58"/>
  <c r="F106" i="58" s="1"/>
  <c r="A106" i="58"/>
  <c r="H38" i="58"/>
  <c r="H105" i="58" s="1"/>
  <c r="G38" i="58"/>
  <c r="G105" i="58" s="1"/>
  <c r="F38" i="58"/>
  <c r="F105" i="58" s="1"/>
  <c r="A105" i="58"/>
  <c r="H37" i="58"/>
  <c r="H104" i="58" s="1"/>
  <c r="G37" i="58"/>
  <c r="G104" i="58" s="1"/>
  <c r="F37" i="58"/>
  <c r="F104" i="58" s="1"/>
  <c r="A104" i="58"/>
  <c r="H36" i="58"/>
  <c r="H103" i="58" s="1"/>
  <c r="G36" i="58"/>
  <c r="G103" i="58" s="1"/>
  <c r="F36" i="58"/>
  <c r="F103" i="58" s="1"/>
  <c r="A103" i="58"/>
  <c r="H35" i="58"/>
  <c r="H102" i="58" s="1"/>
  <c r="G35" i="58"/>
  <c r="G102" i="58" s="1"/>
  <c r="F35" i="58"/>
  <c r="F102" i="58" s="1"/>
  <c r="A102" i="58"/>
  <c r="H34" i="58"/>
  <c r="H101" i="58" s="1"/>
  <c r="G34" i="58"/>
  <c r="G101" i="58" s="1"/>
  <c r="F34" i="58"/>
  <c r="F101" i="58" s="1"/>
  <c r="A101" i="58"/>
  <c r="H33" i="58"/>
  <c r="H100" i="58" s="1"/>
  <c r="A100" i="58"/>
  <c r="H32" i="58"/>
  <c r="H99" i="58" s="1"/>
  <c r="A99" i="58"/>
  <c r="H31" i="58"/>
  <c r="H98" i="58" s="1"/>
  <c r="A98" i="58"/>
  <c r="H30" i="58"/>
  <c r="H97" i="58" s="1"/>
  <c r="A97" i="58"/>
  <c r="H29" i="58"/>
  <c r="H96" i="58" s="1"/>
  <c r="A96" i="58"/>
  <c r="H28" i="58"/>
  <c r="H95" i="58" s="1"/>
  <c r="A95" i="58"/>
  <c r="H27" i="58"/>
  <c r="H94" i="58" s="1"/>
  <c r="A94" i="58"/>
  <c r="H26" i="58"/>
  <c r="H93" i="58" s="1"/>
  <c r="A93" i="58"/>
  <c r="B24" i="58"/>
  <c r="B91" i="58" s="1"/>
  <c r="D22" i="58"/>
  <c r="D89" i="58" s="1"/>
  <c r="D21" i="58"/>
  <c r="H20" i="58"/>
  <c r="H87" i="58" s="1"/>
  <c r="A87" i="58"/>
  <c r="H19" i="58"/>
  <c r="H86" i="58" s="1"/>
  <c r="A86" i="58"/>
  <c r="H18" i="58"/>
  <c r="H85" i="58" s="1"/>
  <c r="A85" i="58"/>
  <c r="H17" i="58"/>
  <c r="H84" i="58" s="1"/>
  <c r="A84" i="58"/>
  <c r="H16" i="58"/>
  <c r="H83" i="58" s="1"/>
  <c r="A83" i="58"/>
  <c r="H15" i="58"/>
  <c r="H82" i="58" s="1"/>
  <c r="A82" i="58"/>
  <c r="H14" i="58"/>
  <c r="H81" i="58" s="1"/>
  <c r="A81" i="58"/>
  <c r="H13" i="58"/>
  <c r="H80" i="58" s="1"/>
  <c r="A80" i="58"/>
  <c r="B11" i="58"/>
  <c r="B78" i="58" s="1"/>
  <c r="L5" i="58"/>
  <c r="K5" i="58"/>
  <c r="C69" i="58"/>
  <c r="H26" i="10"/>
  <c r="F35" i="10"/>
  <c r="F102" i="10" s="1"/>
  <c r="F36" i="10"/>
  <c r="F103" i="10" s="1"/>
  <c r="F37" i="10"/>
  <c r="F104" i="10" s="1"/>
  <c r="F38" i="10"/>
  <c r="F105" i="10" s="1"/>
  <c r="F39" i="10"/>
  <c r="F106" i="10" s="1"/>
  <c r="F40" i="10"/>
  <c r="F41" i="10"/>
  <c r="F108" i="10" s="1"/>
  <c r="F42" i="10"/>
  <c r="F109" i="10" s="1"/>
  <c r="F43" i="10"/>
  <c r="F110" i="10" s="1"/>
  <c r="F44" i="10"/>
  <c r="F111" i="10" s="1"/>
  <c r="F45" i="10"/>
  <c r="F112" i="10" s="1"/>
  <c r="F46" i="10"/>
  <c r="F113" i="10" s="1"/>
  <c r="F47" i="10"/>
  <c r="F114" i="10" s="1"/>
  <c r="F48" i="10"/>
  <c r="F115" i="10" s="1"/>
  <c r="F49" i="10"/>
  <c r="F116" i="10" s="1"/>
  <c r="F50" i="10"/>
  <c r="F117" i="10" s="1"/>
  <c r="F51" i="10"/>
  <c r="F118" i="10" s="1"/>
  <c r="F52" i="10"/>
  <c r="F119" i="10" s="1"/>
  <c r="F53" i="10"/>
  <c r="F120" i="10" s="1"/>
  <c r="F54" i="10"/>
  <c r="F121" i="10" s="1"/>
  <c r="F55" i="10"/>
  <c r="F122" i="10" s="1"/>
  <c r="F56" i="10"/>
  <c r="F123" i="10" s="1"/>
  <c r="F57" i="10"/>
  <c r="F124" i="10" s="1"/>
  <c r="F58" i="10"/>
  <c r="F125" i="10" s="1"/>
  <c r="B93" i="10"/>
  <c r="D93" i="10"/>
  <c r="E93" i="10"/>
  <c r="B94" i="10"/>
  <c r="D94" i="10"/>
  <c r="E94" i="10"/>
  <c r="B95" i="10"/>
  <c r="D95" i="10"/>
  <c r="E95" i="10"/>
  <c r="B96" i="10"/>
  <c r="D96" i="10"/>
  <c r="E96" i="10"/>
  <c r="B97" i="10"/>
  <c r="D97" i="10"/>
  <c r="E97" i="10"/>
  <c r="B98" i="10"/>
  <c r="D98" i="10"/>
  <c r="E98" i="10"/>
  <c r="B99" i="10"/>
  <c r="D99" i="10"/>
  <c r="E99" i="10"/>
  <c r="B100" i="10"/>
  <c r="D100" i="10"/>
  <c r="E100" i="10"/>
  <c r="B101" i="10"/>
  <c r="D101" i="10"/>
  <c r="E101" i="10"/>
  <c r="B102" i="10"/>
  <c r="D102" i="10"/>
  <c r="E102" i="10"/>
  <c r="B103" i="10"/>
  <c r="D103" i="10"/>
  <c r="E103" i="10"/>
  <c r="B104" i="10"/>
  <c r="D104" i="10"/>
  <c r="E104" i="10"/>
  <c r="B105" i="10"/>
  <c r="D105" i="10"/>
  <c r="E105" i="10"/>
  <c r="B106" i="10"/>
  <c r="D106" i="10"/>
  <c r="E106" i="10"/>
  <c r="B107" i="10"/>
  <c r="D107" i="10"/>
  <c r="E107" i="10"/>
  <c r="F107" i="10"/>
  <c r="B108" i="10"/>
  <c r="D108" i="10"/>
  <c r="E108" i="10"/>
  <c r="B109" i="10"/>
  <c r="D109" i="10"/>
  <c r="E109" i="10"/>
  <c r="B110" i="10"/>
  <c r="D110" i="10"/>
  <c r="E110" i="10"/>
  <c r="B111" i="10"/>
  <c r="D111" i="10"/>
  <c r="E111" i="10"/>
  <c r="B112" i="10"/>
  <c r="D112" i="10"/>
  <c r="E112" i="10"/>
  <c r="B113" i="10"/>
  <c r="D113" i="10"/>
  <c r="E113" i="10"/>
  <c r="B114" i="10"/>
  <c r="D114" i="10"/>
  <c r="E114" i="10"/>
  <c r="B115" i="10"/>
  <c r="D115" i="10"/>
  <c r="E115" i="10"/>
  <c r="B116" i="10"/>
  <c r="D116" i="10"/>
  <c r="E116" i="10"/>
  <c r="B117" i="10"/>
  <c r="D117" i="10"/>
  <c r="E117" i="10"/>
  <c r="B118" i="10"/>
  <c r="D118" i="10"/>
  <c r="E118" i="10"/>
  <c r="B119" i="10"/>
  <c r="D119" i="10"/>
  <c r="E119" i="10"/>
  <c r="B120" i="10"/>
  <c r="D120" i="10"/>
  <c r="E120" i="10"/>
  <c r="B121" i="10"/>
  <c r="D121" i="10"/>
  <c r="E121" i="10"/>
  <c r="B122" i="10"/>
  <c r="D122" i="10"/>
  <c r="E122" i="10"/>
  <c r="B123" i="10"/>
  <c r="D123" i="10"/>
  <c r="E123" i="10"/>
  <c r="B124" i="10"/>
  <c r="D124" i="10"/>
  <c r="E124" i="10"/>
  <c r="B125" i="10"/>
  <c r="D125" i="10"/>
  <c r="E125" i="10"/>
  <c r="A93" i="10"/>
  <c r="A94" i="10"/>
  <c r="A95"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B80" i="10"/>
  <c r="D80" i="10"/>
  <c r="E80" i="10"/>
  <c r="B81" i="10"/>
  <c r="D81" i="10"/>
  <c r="E81" i="10"/>
  <c r="B82" i="10"/>
  <c r="D82" i="10"/>
  <c r="E82" i="10"/>
  <c r="B83" i="10"/>
  <c r="D83" i="10"/>
  <c r="E83" i="10"/>
  <c r="B84" i="10"/>
  <c r="D84" i="10"/>
  <c r="E84" i="10"/>
  <c r="B85" i="10"/>
  <c r="D85" i="10"/>
  <c r="E85" i="10"/>
  <c r="B86" i="10"/>
  <c r="D86" i="10"/>
  <c r="E86" i="10"/>
  <c r="B87" i="10"/>
  <c r="D87" i="10"/>
  <c r="E87" i="10"/>
  <c r="B88" i="10"/>
  <c r="E88" i="10"/>
  <c r="H88" i="10"/>
  <c r="B89" i="10"/>
  <c r="E89" i="10"/>
  <c r="H89" i="10"/>
  <c r="A80" i="10"/>
  <c r="A81" i="10"/>
  <c r="A82" i="10"/>
  <c r="A83" i="10"/>
  <c r="A84" i="10"/>
  <c r="A85" i="10"/>
  <c r="A86" i="10"/>
  <c r="A87" i="10"/>
  <c r="A97" i="10"/>
  <c r="A96" i="10"/>
  <c r="A22" i="58" l="1"/>
  <c r="A89" i="58" s="1"/>
  <c r="A21" i="58"/>
  <c r="A88" i="58" s="1"/>
  <c r="D88" i="58"/>
  <c r="D4" i="58"/>
  <c r="D71" i="58" s="1"/>
  <c r="I69" i="15"/>
  <c r="B85" i="15" l="1"/>
  <c r="D71" i="15"/>
  <c r="B67" i="15"/>
  <c r="B11" i="15" l="1"/>
  <c r="B76" i="15" s="1"/>
  <c r="B64" i="15"/>
  <c r="B24" i="10"/>
  <c r="B91" i="10" s="1"/>
  <c r="B11" i="10"/>
  <c r="B78" i="10" s="1"/>
  <c r="D73" i="10" l="1"/>
  <c r="I71" i="10"/>
  <c r="B69" i="10"/>
  <c r="B66" i="10" l="1"/>
  <c r="D22" i="29" l="1"/>
  <c r="D24" i="29"/>
  <c r="E19" i="29" l="1"/>
  <c r="G19" i="29"/>
  <c r="E20" i="29"/>
  <c r="G20" i="29"/>
  <c r="E21" i="29"/>
  <c r="G21" i="29"/>
  <c r="E22" i="29"/>
  <c r="G22" i="29"/>
  <c r="E23" i="29"/>
  <c r="G23" i="29"/>
  <c r="E24" i="29"/>
  <c r="G24" i="29"/>
  <c r="D16" i="29"/>
  <c r="D14" i="29"/>
  <c r="D11" i="29"/>
  <c r="D9" i="29"/>
  <c r="D7" i="29"/>
  <c r="D5" i="29"/>
  <c r="D3" i="29"/>
  <c r="D7" i="10"/>
  <c r="E127" i="10" s="1"/>
  <c r="C69" i="10"/>
  <c r="J18" i="39"/>
  <c r="J20" i="39"/>
  <c r="J26" i="39"/>
  <c r="J31" i="39"/>
  <c r="J32" i="39"/>
  <c r="J33" i="39"/>
  <c r="J34" i="39"/>
  <c r="J35" i="39"/>
  <c r="J36" i="39"/>
  <c r="J37" i="39"/>
  <c r="J38" i="39"/>
  <c r="J39" i="39"/>
  <c r="J40" i="39"/>
  <c r="J41" i="39"/>
  <c r="I44" i="39"/>
  <c r="F5" i="39"/>
  <c r="F48" i="39" s="1"/>
  <c r="C2" i="63" l="1"/>
  <c r="C70" i="63" s="1"/>
  <c r="C2" i="23"/>
  <c r="C70" i="23" s="1"/>
  <c r="C2" i="62"/>
  <c r="C67" i="62" s="1"/>
  <c r="C2" i="32"/>
  <c r="C67" i="32" s="1"/>
  <c r="C2" i="61"/>
  <c r="C67" i="61" s="1"/>
  <c r="C2" i="15"/>
  <c r="D74" i="10"/>
  <c r="H13" i="45"/>
  <c r="H57" i="45"/>
  <c r="H14" i="45"/>
  <c r="H15" i="45"/>
  <c r="H16" i="45"/>
  <c r="H17" i="45"/>
  <c r="H18" i="45"/>
  <c r="H19" i="45"/>
  <c r="H20" i="45"/>
  <c r="H21" i="45"/>
  <c r="H22" i="45"/>
  <c r="H23" i="45"/>
  <c r="H24" i="45"/>
  <c r="H25" i="45"/>
  <c r="H26" i="45"/>
  <c r="H27" i="45"/>
  <c r="H28" i="45"/>
  <c r="H29" i="45"/>
  <c r="H30" i="45"/>
  <c r="H31" i="45"/>
  <c r="H32" i="45"/>
  <c r="H33" i="45"/>
  <c r="H34" i="45"/>
  <c r="H35" i="45"/>
  <c r="H36" i="45"/>
  <c r="H37" i="45"/>
  <c r="H38" i="45"/>
  <c r="H39" i="45"/>
  <c r="H40" i="45"/>
  <c r="H41" i="45"/>
  <c r="H42" i="45"/>
  <c r="H43" i="45"/>
  <c r="H44" i="45"/>
  <c r="H45" i="45"/>
  <c r="H46" i="45"/>
  <c r="H47" i="45"/>
  <c r="H48" i="45"/>
  <c r="H49" i="45"/>
  <c r="H50" i="45"/>
  <c r="H51" i="45"/>
  <c r="H52" i="45"/>
  <c r="H53" i="45"/>
  <c r="H54" i="45"/>
  <c r="H55" i="45"/>
  <c r="H56" i="45"/>
  <c r="H14" i="50"/>
  <c r="H15" i="50"/>
  <c r="H13" i="50"/>
  <c r="H12" i="48"/>
  <c r="F20" i="48"/>
  <c r="F48" i="48"/>
  <c r="G48" i="48"/>
  <c r="E48" i="48" s="1"/>
  <c r="H48" i="48"/>
  <c r="F49" i="48"/>
  <c r="G49" i="48"/>
  <c r="E49" i="48" s="1"/>
  <c r="H49" i="48"/>
  <c r="F50" i="48"/>
  <c r="G50" i="48"/>
  <c r="E50" i="48" s="1"/>
  <c r="H50" i="48"/>
  <c r="F51" i="48"/>
  <c r="G51" i="48"/>
  <c r="E51" i="48" s="1"/>
  <c r="H51" i="48"/>
  <c r="F52" i="48"/>
  <c r="G52" i="48"/>
  <c r="E52" i="48" s="1"/>
  <c r="H52" i="48"/>
  <c r="F53" i="48"/>
  <c r="G53" i="48"/>
  <c r="E53" i="48" s="1"/>
  <c r="H53" i="48"/>
  <c r="F54" i="48"/>
  <c r="G54" i="48"/>
  <c r="E54" i="48" s="1"/>
  <c r="H54" i="48"/>
  <c r="F55" i="48"/>
  <c r="G55" i="48"/>
  <c r="E55" i="48" s="1"/>
  <c r="H55" i="48"/>
  <c r="F56" i="48"/>
  <c r="G56" i="48"/>
  <c r="E56" i="48" s="1"/>
  <c r="H56" i="48"/>
  <c r="L4" i="52"/>
  <c r="K4" i="52"/>
  <c r="D3" i="52" s="1"/>
  <c r="L5" i="51"/>
  <c r="K5" i="51"/>
  <c r="D4" i="51" s="1"/>
  <c r="L5" i="50"/>
  <c r="K5" i="50"/>
  <c r="D4" i="50" s="1"/>
  <c r="F13" i="36"/>
  <c r="F79" i="36" s="1"/>
  <c r="C31" i="45"/>
  <c r="G31" i="45"/>
  <c r="C32" i="45"/>
  <c r="G32" i="45"/>
  <c r="C33" i="45"/>
  <c r="G33" i="45"/>
  <c r="C34" i="45"/>
  <c r="G34" i="45"/>
  <c r="C35" i="45"/>
  <c r="G35" i="45"/>
  <c r="C36" i="45"/>
  <c r="G36" i="45"/>
  <c r="C37" i="45"/>
  <c r="G37" i="45"/>
  <c r="C38" i="45"/>
  <c r="G38" i="45"/>
  <c r="C39" i="45"/>
  <c r="G39" i="45"/>
  <c r="C40" i="45"/>
  <c r="G40" i="45"/>
  <c r="C41" i="45"/>
  <c r="G41" i="45"/>
  <c r="C42" i="45"/>
  <c r="G42" i="45"/>
  <c r="C43" i="45"/>
  <c r="G43" i="45"/>
  <c r="C44" i="45"/>
  <c r="G44" i="45"/>
  <c r="C45" i="45"/>
  <c r="G45" i="45"/>
  <c r="C46" i="45"/>
  <c r="G46" i="45"/>
  <c r="C47" i="45"/>
  <c r="G47" i="45"/>
  <c r="C48" i="45"/>
  <c r="G48" i="45"/>
  <c r="C49" i="45"/>
  <c r="G49" i="45"/>
  <c r="C50" i="45"/>
  <c r="G50" i="45"/>
  <c r="C51" i="45"/>
  <c r="G51" i="45"/>
  <c r="C52" i="45"/>
  <c r="G52" i="45"/>
  <c r="C53" i="45"/>
  <c r="G53" i="45"/>
  <c r="C54" i="45"/>
  <c r="G54" i="45"/>
  <c r="C55" i="45"/>
  <c r="G55" i="45"/>
  <c r="C56" i="45"/>
  <c r="G56" i="45"/>
  <c r="C57" i="45"/>
  <c r="G57" i="45"/>
  <c r="H8" i="39"/>
  <c r="H51" i="39" s="1"/>
  <c r="G8" i="39"/>
  <c r="G51" i="39" s="1"/>
  <c r="H41" i="36"/>
  <c r="H107" i="36" s="1"/>
  <c r="H19" i="36"/>
  <c r="H85" i="36" s="1"/>
  <c r="H14" i="23"/>
  <c r="H82" i="23" s="1"/>
  <c r="H15" i="23"/>
  <c r="H83" i="23" s="1"/>
  <c r="H16" i="23"/>
  <c r="H84" i="23" s="1"/>
  <c r="H17" i="23"/>
  <c r="H85" i="23" s="1"/>
  <c r="H18" i="23"/>
  <c r="H86" i="23" s="1"/>
  <c r="H19" i="23"/>
  <c r="H87" i="23" s="1"/>
  <c r="H20" i="23"/>
  <c r="H88" i="23" s="1"/>
  <c r="H21" i="23"/>
  <c r="H89" i="23" s="1"/>
  <c r="H22" i="23"/>
  <c r="H90" i="23" s="1"/>
  <c r="H23" i="23"/>
  <c r="H91" i="23" s="1"/>
  <c r="H24" i="23"/>
  <c r="H92" i="23" s="1"/>
  <c r="H25" i="23"/>
  <c r="H93" i="23" s="1"/>
  <c r="H26" i="23"/>
  <c r="H94" i="23" s="1"/>
  <c r="H27" i="23"/>
  <c r="H95" i="23" s="1"/>
  <c r="H13" i="23"/>
  <c r="H81" i="23" s="1"/>
  <c r="G27" i="23"/>
  <c r="G95" i="23" s="1"/>
  <c r="F27" i="23"/>
  <c r="F95" i="23" s="1"/>
  <c r="C27" i="23"/>
  <c r="C95" i="23" s="1"/>
  <c r="G26" i="23"/>
  <c r="G94" i="23" s="1"/>
  <c r="F26" i="23"/>
  <c r="F94" i="23" s="1"/>
  <c r="C26" i="23"/>
  <c r="C94" i="23" s="1"/>
  <c r="G25" i="23"/>
  <c r="G93" i="23" s="1"/>
  <c r="F25" i="23"/>
  <c r="F93" i="23" s="1"/>
  <c r="C25" i="23"/>
  <c r="C93" i="23" s="1"/>
  <c r="K5" i="15"/>
  <c r="L5" i="15"/>
  <c r="H32" i="36"/>
  <c r="H98" i="36" s="1"/>
  <c r="H33" i="36"/>
  <c r="H99" i="36" s="1"/>
  <c r="H34" i="36"/>
  <c r="H100" i="36" s="1"/>
  <c r="H35" i="36"/>
  <c r="H101" i="36" s="1"/>
  <c r="H36" i="36"/>
  <c r="H102" i="36" s="1"/>
  <c r="H37" i="36"/>
  <c r="H103" i="36" s="1"/>
  <c r="H38" i="36"/>
  <c r="H104" i="36" s="1"/>
  <c r="H39" i="36"/>
  <c r="H105" i="36" s="1"/>
  <c r="H40" i="36"/>
  <c r="H106" i="36" s="1"/>
  <c r="H42" i="36"/>
  <c r="H108" i="36" s="1"/>
  <c r="H43" i="36"/>
  <c r="H109" i="36" s="1"/>
  <c r="H44" i="36"/>
  <c r="H110" i="36" s="1"/>
  <c r="H45" i="36"/>
  <c r="H111" i="36" s="1"/>
  <c r="H46" i="36"/>
  <c r="H112" i="36" s="1"/>
  <c r="H47" i="36"/>
  <c r="H113" i="36" s="1"/>
  <c r="H48" i="36"/>
  <c r="H114" i="36" s="1"/>
  <c r="H49" i="36"/>
  <c r="H115" i="36" s="1"/>
  <c r="H50" i="36"/>
  <c r="H116" i="36" s="1"/>
  <c r="H51" i="36"/>
  <c r="H117" i="36" s="1"/>
  <c r="H52" i="36"/>
  <c r="H118" i="36" s="1"/>
  <c r="H53" i="36"/>
  <c r="H119" i="36" s="1"/>
  <c r="H54" i="36"/>
  <c r="H120" i="36" s="1"/>
  <c r="H55" i="36"/>
  <c r="H121" i="36" s="1"/>
  <c r="H56" i="36"/>
  <c r="H122" i="36" s="1"/>
  <c r="H57" i="36"/>
  <c r="H123" i="36" s="1"/>
  <c r="H31" i="36"/>
  <c r="H97" i="36" s="1"/>
  <c r="H14" i="36"/>
  <c r="H80" i="36" s="1"/>
  <c r="H15" i="36"/>
  <c r="H81" i="36" s="1"/>
  <c r="H16" i="36"/>
  <c r="H82" i="36" s="1"/>
  <c r="H17" i="36"/>
  <c r="H83" i="36" s="1"/>
  <c r="H18" i="36"/>
  <c r="H84" i="36" s="1"/>
  <c r="H20" i="36"/>
  <c r="H86" i="36" s="1"/>
  <c r="H21" i="36"/>
  <c r="H87" i="36" s="1"/>
  <c r="H22" i="36"/>
  <c r="H88" i="36" s="1"/>
  <c r="H23" i="36"/>
  <c r="H89" i="36" s="1"/>
  <c r="H24" i="36"/>
  <c r="H90" i="36" s="1"/>
  <c r="H13" i="36"/>
  <c r="H79" i="36" s="1"/>
  <c r="H14" i="32"/>
  <c r="H79" i="32" s="1"/>
  <c r="H15" i="32"/>
  <c r="H80" i="32" s="1"/>
  <c r="H16" i="32"/>
  <c r="H81" i="32" s="1"/>
  <c r="H17" i="32"/>
  <c r="H82" i="32" s="1"/>
  <c r="H18" i="32"/>
  <c r="H83" i="32" s="1"/>
  <c r="H19" i="32"/>
  <c r="H84" i="32" s="1"/>
  <c r="H20" i="32"/>
  <c r="H85" i="32" s="1"/>
  <c r="H13" i="32"/>
  <c r="H78" i="32" s="1"/>
  <c r="I18" i="47"/>
  <c r="I16" i="46"/>
  <c r="A29" i="47"/>
  <c r="A30" i="47"/>
  <c r="A32" i="47"/>
  <c r="A33" i="47"/>
  <c r="A34" i="47"/>
  <c r="A35" i="47"/>
  <c r="A31" i="47"/>
  <c r="A28" i="47"/>
  <c r="A19" i="47"/>
  <c r="A18" i="47"/>
  <c r="A26" i="47" s="1"/>
  <c r="A17" i="47"/>
  <c r="A25" i="47" s="1"/>
  <c r="A16" i="47"/>
  <c r="A24" i="47" s="1"/>
  <c r="A35" i="46"/>
  <c r="A34" i="46"/>
  <c r="A32" i="46"/>
  <c r="A33" i="46"/>
  <c r="A31" i="46"/>
  <c r="A30" i="46"/>
  <c r="A29" i="46"/>
  <c r="A28" i="46"/>
  <c r="A19" i="46"/>
  <c r="A18" i="46"/>
  <c r="A26" i="46" s="1"/>
  <c r="A17" i="46"/>
  <c r="A25" i="46" s="1"/>
  <c r="A16" i="46"/>
  <c r="A24" i="46" s="1"/>
  <c r="F23" i="36"/>
  <c r="F89" i="36" s="1"/>
  <c r="F24" i="36"/>
  <c r="F22" i="36"/>
  <c r="F88" i="36" s="1"/>
  <c r="F20" i="36"/>
  <c r="F16" i="36"/>
  <c r="F21" i="36"/>
  <c r="F87" i="36" s="1"/>
  <c r="F31" i="36"/>
  <c r="F97" i="36" s="1"/>
  <c r="F32" i="36"/>
  <c r="F98" i="36" s="1"/>
  <c r="F33" i="36"/>
  <c r="F99" i="36" s="1"/>
  <c r="F34" i="36"/>
  <c r="F100" i="36" s="1"/>
  <c r="F35" i="36"/>
  <c r="F101" i="36" s="1"/>
  <c r="F36" i="36"/>
  <c r="F102" i="36" s="1"/>
  <c r="F37" i="36"/>
  <c r="F103" i="36" s="1"/>
  <c r="F38" i="36"/>
  <c r="F104" i="36" s="1"/>
  <c r="F39" i="36"/>
  <c r="F105" i="36" s="1"/>
  <c r="F40" i="36"/>
  <c r="F106" i="36" s="1"/>
  <c r="F41" i="36"/>
  <c r="F107" i="36" s="1"/>
  <c r="F42" i="36"/>
  <c r="F108" i="36" s="1"/>
  <c r="F43" i="36"/>
  <c r="F109" i="36" s="1"/>
  <c r="F44" i="36"/>
  <c r="F110" i="36" s="1"/>
  <c r="F45" i="36"/>
  <c r="F111" i="36" s="1"/>
  <c r="F46" i="36"/>
  <c r="F112" i="36" s="1"/>
  <c r="F47" i="36"/>
  <c r="F113" i="36" s="1"/>
  <c r="F48" i="36"/>
  <c r="F114" i="36" s="1"/>
  <c r="F49" i="36"/>
  <c r="F115" i="36" s="1"/>
  <c r="F50" i="36"/>
  <c r="F116" i="36" s="1"/>
  <c r="F51" i="36"/>
  <c r="F117" i="36" s="1"/>
  <c r="F52" i="36"/>
  <c r="F118" i="36" s="1"/>
  <c r="F53" i="36"/>
  <c r="F119" i="36" s="1"/>
  <c r="F54" i="36"/>
  <c r="F120" i="36" s="1"/>
  <c r="F55" i="36"/>
  <c r="F121" i="36" s="1"/>
  <c r="F56" i="36"/>
  <c r="F122" i="36" s="1"/>
  <c r="F57" i="36"/>
  <c r="F123" i="36" s="1"/>
  <c r="F35" i="47"/>
  <c r="F34" i="47"/>
  <c r="F33" i="47"/>
  <c r="F32" i="47"/>
  <c r="F31" i="47"/>
  <c r="F30" i="47"/>
  <c r="F29" i="47"/>
  <c r="F30" i="46"/>
  <c r="F31" i="46"/>
  <c r="F32" i="46"/>
  <c r="F33" i="46"/>
  <c r="F34" i="46"/>
  <c r="F35" i="46"/>
  <c r="F29" i="46"/>
  <c r="F28" i="46"/>
  <c r="H14" i="15"/>
  <c r="H79" i="15" s="1"/>
  <c r="H15" i="15"/>
  <c r="H80" i="15" s="1"/>
  <c r="H16" i="15"/>
  <c r="H81" i="15" s="1"/>
  <c r="H17" i="15"/>
  <c r="H82" i="15" s="1"/>
  <c r="H18" i="15"/>
  <c r="H83" i="15" s="1"/>
  <c r="D19" i="15"/>
  <c r="A19" i="15" s="1"/>
  <c r="F24" i="23"/>
  <c r="F92" i="23" s="1"/>
  <c r="F23" i="23"/>
  <c r="F91" i="23" s="1"/>
  <c r="F22" i="23"/>
  <c r="F90" i="23" s="1"/>
  <c r="J27" i="36"/>
  <c r="J93" i="36" s="1"/>
  <c r="I27" i="36"/>
  <c r="I93" i="36" s="1"/>
  <c r="J26" i="36"/>
  <c r="J92" i="36" s="1"/>
  <c r="I26" i="36"/>
  <c r="I92" i="36" s="1"/>
  <c r="J25" i="36"/>
  <c r="J91" i="36" s="1"/>
  <c r="I25" i="36"/>
  <c r="I91" i="36" s="1"/>
  <c r="D27" i="36"/>
  <c r="D26" i="36"/>
  <c r="D25" i="36"/>
  <c r="F20" i="21"/>
  <c r="F16" i="21"/>
  <c r="E22" i="21"/>
  <c r="E87" i="21" s="1"/>
  <c r="D22" i="21"/>
  <c r="E21" i="21"/>
  <c r="E86" i="21" s="1"/>
  <c r="D21" i="21"/>
  <c r="H16" i="19"/>
  <c r="H81" i="19" s="1"/>
  <c r="G16" i="19"/>
  <c r="G81" i="19" s="1"/>
  <c r="F16" i="19"/>
  <c r="F81" i="19" s="1"/>
  <c r="H15" i="19"/>
  <c r="H80" i="19" s="1"/>
  <c r="H14" i="19"/>
  <c r="H79" i="19" s="1"/>
  <c r="H13" i="19"/>
  <c r="H78" i="19" s="1"/>
  <c r="H13" i="48"/>
  <c r="H14" i="48"/>
  <c r="H15" i="48"/>
  <c r="H16" i="48"/>
  <c r="H17" i="48"/>
  <c r="H18" i="48"/>
  <c r="H19" i="48"/>
  <c r="H20" i="48"/>
  <c r="H21" i="48"/>
  <c r="H22" i="48"/>
  <c r="H23" i="48"/>
  <c r="H24" i="48"/>
  <c r="H25" i="48"/>
  <c r="H26" i="48"/>
  <c r="H27" i="48"/>
  <c r="H28" i="48"/>
  <c r="H29" i="48"/>
  <c r="H30" i="48"/>
  <c r="H31" i="48"/>
  <c r="H32" i="48"/>
  <c r="H33" i="48"/>
  <c r="H34" i="48"/>
  <c r="H35" i="48"/>
  <c r="H36" i="48"/>
  <c r="H37" i="48"/>
  <c r="H38" i="48"/>
  <c r="H39" i="48"/>
  <c r="H40" i="48"/>
  <c r="H41" i="48"/>
  <c r="H42" i="48"/>
  <c r="H43" i="48"/>
  <c r="H44" i="48"/>
  <c r="H45" i="48"/>
  <c r="H46" i="48"/>
  <c r="H47" i="48"/>
  <c r="D63" i="38"/>
  <c r="D64" i="38"/>
  <c r="D65" i="38"/>
  <c r="D66" i="38"/>
  <c r="D67" i="38"/>
  <c r="D68" i="38"/>
  <c r="D69" i="38"/>
  <c r="D70" i="38"/>
  <c r="D72" i="38"/>
  <c r="D73" i="38"/>
  <c r="D74" i="38"/>
  <c r="D75" i="38"/>
  <c r="D77" i="38"/>
  <c r="D78" i="38"/>
  <c r="D79" i="38"/>
  <c r="D80" i="38"/>
  <c r="D81" i="38"/>
  <c r="D62" i="38"/>
  <c r="D43" i="38"/>
  <c r="D44" i="38"/>
  <c r="D45" i="38"/>
  <c r="D46" i="38"/>
  <c r="D47" i="38"/>
  <c r="D50" i="38"/>
  <c r="D51" i="38"/>
  <c r="D52" i="38"/>
  <c r="D53" i="38"/>
  <c r="D54" i="38"/>
  <c r="D55" i="38"/>
  <c r="D56" i="38"/>
  <c r="D57" i="38"/>
  <c r="D58" i="38"/>
  <c r="D59" i="38"/>
  <c r="D60" i="38"/>
  <c r="D61" i="38"/>
  <c r="D42" i="38"/>
  <c r="D23" i="38"/>
  <c r="D24" i="38"/>
  <c r="D25" i="38"/>
  <c r="D26" i="38"/>
  <c r="D27" i="38"/>
  <c r="D28" i="38"/>
  <c r="D29" i="38"/>
  <c r="D30" i="38"/>
  <c r="D31" i="38"/>
  <c r="D32" i="38"/>
  <c r="D33" i="38"/>
  <c r="D34" i="38"/>
  <c r="D35" i="38"/>
  <c r="D36" i="38"/>
  <c r="D37" i="38"/>
  <c r="D38" i="38"/>
  <c r="D39" i="38"/>
  <c r="D40" i="38"/>
  <c r="D41" i="38"/>
  <c r="D22" i="38"/>
  <c r="D3" i="38"/>
  <c r="D4" i="38"/>
  <c r="D5" i="38"/>
  <c r="D6" i="38"/>
  <c r="D7" i="38"/>
  <c r="D8" i="38"/>
  <c r="D9" i="38"/>
  <c r="D10" i="38"/>
  <c r="D11" i="38"/>
  <c r="D12" i="38"/>
  <c r="D13" i="38"/>
  <c r="D14" i="38"/>
  <c r="D15" i="38"/>
  <c r="D16" i="38"/>
  <c r="D17" i="38"/>
  <c r="D18" i="38"/>
  <c r="D19" i="38"/>
  <c r="D20" i="38"/>
  <c r="D21" i="38"/>
  <c r="D2" i="38"/>
  <c r="L4" i="48"/>
  <c r="K4" i="48"/>
  <c r="D3" i="48" s="1"/>
  <c r="J4" i="2"/>
  <c r="G30" i="46"/>
  <c r="G32" i="46"/>
  <c r="G34" i="46"/>
  <c r="G28" i="46"/>
  <c r="I32" i="46"/>
  <c r="I29" i="46"/>
  <c r="I30" i="46"/>
  <c r="I31" i="46"/>
  <c r="I33" i="46"/>
  <c r="I34" i="46"/>
  <c r="I35" i="46"/>
  <c r="I28" i="46"/>
  <c r="D27" i="46"/>
  <c r="A27" i="46" s="1"/>
  <c r="D26" i="46"/>
  <c r="C26" i="46" s="1"/>
  <c r="D25" i="46"/>
  <c r="D24" i="46"/>
  <c r="C24" i="46" s="1"/>
  <c r="L8" i="46"/>
  <c r="G29" i="47"/>
  <c r="G30" i="47"/>
  <c r="I19" i="46"/>
  <c r="I18" i="46"/>
  <c r="I17" i="46"/>
  <c r="H56" i="10"/>
  <c r="H123" i="10" s="1"/>
  <c r="H57" i="10"/>
  <c r="H124" i="10" s="1"/>
  <c r="H58" i="10"/>
  <c r="H125" i="10" s="1"/>
  <c r="M8" i="47"/>
  <c r="L8" i="47"/>
  <c r="D7" i="47" s="1"/>
  <c r="M8" i="46"/>
  <c r="K5" i="10"/>
  <c r="L5" i="32"/>
  <c r="L5" i="23"/>
  <c r="L5" i="36"/>
  <c r="L5" i="21"/>
  <c r="L5" i="19"/>
  <c r="L5" i="45"/>
  <c r="L5" i="10"/>
  <c r="K5" i="32"/>
  <c r="D4" i="32" s="1"/>
  <c r="D69" i="32" s="1"/>
  <c r="K5" i="23"/>
  <c r="K5" i="36"/>
  <c r="K5" i="21"/>
  <c r="K5" i="19"/>
  <c r="K5" i="45"/>
  <c r="G33" i="47"/>
  <c r="G34" i="47"/>
  <c r="D25" i="47"/>
  <c r="C25" i="47" s="1"/>
  <c r="D26" i="47"/>
  <c r="D27" i="47"/>
  <c r="D24" i="47"/>
  <c r="I29" i="47"/>
  <c r="I30" i="47"/>
  <c r="I31" i="47"/>
  <c r="I32" i="47"/>
  <c r="I33" i="47"/>
  <c r="I34" i="47"/>
  <c r="I35" i="47"/>
  <c r="I28" i="47"/>
  <c r="I19" i="47"/>
  <c r="I17" i="47"/>
  <c r="I16" i="47"/>
  <c r="F1" i="2"/>
  <c r="C14" i="50"/>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H106" i="2"/>
  <c r="G108" i="2"/>
  <c r="I6" i="39"/>
  <c r="I49" i="39" s="1"/>
  <c r="G17" i="29"/>
  <c r="E17" i="29"/>
  <c r="I42" i="39"/>
  <c r="E42" i="39"/>
  <c r="F58" i="39"/>
  <c r="H27" i="10"/>
  <c r="H94" i="10" s="1"/>
  <c r="H28" i="10"/>
  <c r="H95" i="10" s="1"/>
  <c r="H29" i="10"/>
  <c r="H96" i="10" s="1"/>
  <c r="H30" i="10"/>
  <c r="H97" i="10" s="1"/>
  <c r="H31" i="10"/>
  <c r="H98" i="10" s="1"/>
  <c r="H32" i="10"/>
  <c r="H99" i="10" s="1"/>
  <c r="H33" i="10"/>
  <c r="H100" i="10" s="1"/>
  <c r="H34" i="10"/>
  <c r="H101" i="10" s="1"/>
  <c r="H35" i="10"/>
  <c r="H102" i="10" s="1"/>
  <c r="H36" i="10"/>
  <c r="H103" i="10" s="1"/>
  <c r="H37" i="10"/>
  <c r="H104" i="10" s="1"/>
  <c r="H38" i="10"/>
  <c r="H105" i="10" s="1"/>
  <c r="H39" i="10"/>
  <c r="H106" i="10" s="1"/>
  <c r="H40" i="10"/>
  <c r="H107" i="10" s="1"/>
  <c r="H41" i="10"/>
  <c r="H108" i="10" s="1"/>
  <c r="H42" i="10"/>
  <c r="H109" i="10" s="1"/>
  <c r="H43" i="10"/>
  <c r="H110" i="10" s="1"/>
  <c r="H44" i="10"/>
  <c r="H111" i="10" s="1"/>
  <c r="H45" i="10"/>
  <c r="H112" i="10" s="1"/>
  <c r="H46" i="10"/>
  <c r="H113" i="10" s="1"/>
  <c r="H47" i="10"/>
  <c r="H114" i="10" s="1"/>
  <c r="H48" i="10"/>
  <c r="H115" i="10" s="1"/>
  <c r="H49" i="10"/>
  <c r="H116" i="10" s="1"/>
  <c r="H50" i="10"/>
  <c r="H117" i="10" s="1"/>
  <c r="H51" i="10"/>
  <c r="H118" i="10" s="1"/>
  <c r="H52" i="10"/>
  <c r="H119" i="10" s="1"/>
  <c r="H53" i="10"/>
  <c r="H120" i="10" s="1"/>
  <c r="H54" i="10"/>
  <c r="H121" i="10" s="1"/>
  <c r="H55" i="10"/>
  <c r="H122" i="10" s="1"/>
  <c r="H93" i="10"/>
  <c r="H14" i="10"/>
  <c r="H81" i="10" s="1"/>
  <c r="H15" i="10"/>
  <c r="H82" i="10" s="1"/>
  <c r="H16" i="10"/>
  <c r="H83" i="10" s="1"/>
  <c r="H17" i="10"/>
  <c r="H84" i="10" s="1"/>
  <c r="H18" i="10"/>
  <c r="H85" i="10" s="1"/>
  <c r="H19" i="10"/>
  <c r="H86" i="10" s="1"/>
  <c r="H20" i="10"/>
  <c r="H87" i="10" s="1"/>
  <c r="H13" i="10"/>
  <c r="H80" i="10" s="1"/>
  <c r="D22" i="10"/>
  <c r="D89" i="10" s="1"/>
  <c r="D21" i="10"/>
  <c r="G9" i="29"/>
  <c r="E9" i="29"/>
  <c r="G3" i="29"/>
  <c r="G4" i="29"/>
  <c r="G5" i="29"/>
  <c r="G6" i="29"/>
  <c r="G7" i="29"/>
  <c r="G8" i="29"/>
  <c r="E3" i="29"/>
  <c r="E4" i="29"/>
  <c r="E5" i="29"/>
  <c r="E6" i="29"/>
  <c r="E7" i="29"/>
  <c r="E8" i="29"/>
  <c r="E10" i="29"/>
  <c r="B3" i="29"/>
  <c r="E2" i="29"/>
  <c r="D35" i="39"/>
  <c r="D78" i="39" s="1"/>
  <c r="F35" i="39"/>
  <c r="I35" i="39"/>
  <c r="D36" i="39"/>
  <c r="D79" i="39" s="1"/>
  <c r="F36" i="39"/>
  <c r="I36" i="39"/>
  <c r="D37" i="39"/>
  <c r="D80" i="39" s="1"/>
  <c r="F37" i="39"/>
  <c r="I37" i="39"/>
  <c r="D38" i="39"/>
  <c r="D81" i="39" s="1"/>
  <c r="F38" i="39"/>
  <c r="I38" i="39"/>
  <c r="D39" i="39"/>
  <c r="D82" i="39" s="1"/>
  <c r="F39" i="39"/>
  <c r="I39" i="39"/>
  <c r="D40" i="39"/>
  <c r="D83" i="39" s="1"/>
  <c r="F40" i="39"/>
  <c r="I40" i="39"/>
  <c r="D41" i="39"/>
  <c r="D84" i="39" s="1"/>
  <c r="F41" i="39"/>
  <c r="I41" i="39"/>
  <c r="I34" i="39"/>
  <c r="F34" i="39"/>
  <c r="D34" i="39"/>
  <c r="D77" i="39" s="1"/>
  <c r="I33" i="39"/>
  <c r="F33" i="39"/>
  <c r="D33" i="39"/>
  <c r="D76" i="39" s="1"/>
  <c r="I32" i="39"/>
  <c r="F32" i="39"/>
  <c r="D32" i="39"/>
  <c r="D75" i="39" s="1"/>
  <c r="D8" i="10"/>
  <c r="G16" i="29"/>
  <c r="G15" i="29"/>
  <c r="G14" i="29"/>
  <c r="G13" i="29"/>
  <c r="G12" i="29"/>
  <c r="G11" i="29"/>
  <c r="G10" i="29"/>
  <c r="G2" i="29"/>
  <c r="E11" i="29"/>
  <c r="E12" i="29"/>
  <c r="E13" i="29"/>
  <c r="E14" i="29"/>
  <c r="E15" i="29"/>
  <c r="E16" i="29"/>
  <c r="B4" i="2"/>
  <c r="H14" i="21"/>
  <c r="H79" i="21" s="1"/>
  <c r="H15" i="21"/>
  <c r="H80" i="21" s="1"/>
  <c r="H16" i="21"/>
  <c r="H81" i="21" s="1"/>
  <c r="H17" i="21"/>
  <c r="H82" i="21" s="1"/>
  <c r="H18" i="21"/>
  <c r="H83" i="21" s="1"/>
  <c r="H19" i="21"/>
  <c r="H84" i="21" s="1"/>
  <c r="H20" i="21"/>
  <c r="H85" i="21" s="1"/>
  <c r="H13" i="21"/>
  <c r="H78" i="21" s="1"/>
  <c r="F7" i="10"/>
  <c r="F74" i="10" s="1"/>
  <c r="B38" i="2"/>
  <c r="B5" i="2"/>
  <c r="G37" i="10" s="1"/>
  <c r="G104" i="10" s="1"/>
  <c r="B6" i="2"/>
  <c r="B7" i="2"/>
  <c r="L7" i="2"/>
  <c r="M7" i="2"/>
  <c r="B8" i="2"/>
  <c r="B9" i="2"/>
  <c r="B10" i="2"/>
  <c r="B11" i="2"/>
  <c r="B12" i="2"/>
  <c r="B13" i="2"/>
  <c r="B14" i="2"/>
  <c r="B15" i="2"/>
  <c r="B16" i="2"/>
  <c r="B17" i="2"/>
  <c r="B18" i="2"/>
  <c r="B19" i="2"/>
  <c r="B20" i="2"/>
  <c r="B21" i="2"/>
  <c r="B22" i="2"/>
  <c r="B23" i="2"/>
  <c r="B24" i="2"/>
  <c r="B25" i="2"/>
  <c r="B26" i="2"/>
  <c r="B27" i="2"/>
  <c r="B28" i="2"/>
  <c r="H28" i="2" s="1"/>
  <c r="B29" i="2"/>
  <c r="B30" i="2"/>
  <c r="B31" i="2"/>
  <c r="B32" i="2"/>
  <c r="B33" i="2"/>
  <c r="B34" i="2"/>
  <c r="B35" i="2"/>
  <c r="B36" i="2"/>
  <c r="B37" i="2"/>
  <c r="B39" i="2"/>
  <c r="B40" i="2"/>
  <c r="B41" i="2"/>
  <c r="B42" i="2"/>
  <c r="B43" i="2"/>
  <c r="B44" i="2"/>
  <c r="B45" i="2"/>
  <c r="H45" i="2" s="1"/>
  <c r="B46" i="2"/>
  <c r="I46" i="2" s="1"/>
  <c r="B47" i="2"/>
  <c r="H47" i="2" s="1"/>
  <c r="B48" i="2"/>
  <c r="I48" i="2" s="1"/>
  <c r="B49" i="2"/>
  <c r="H49" i="2" s="1"/>
  <c r="B50" i="2"/>
  <c r="I50" i="2" s="1"/>
  <c r="B51" i="2"/>
  <c r="I51" i="2" s="1"/>
  <c r="B52" i="2"/>
  <c r="I52" i="2" s="1"/>
  <c r="B53" i="2"/>
  <c r="H53" i="2" s="1"/>
  <c r="B54" i="2"/>
  <c r="H54" i="2" s="1"/>
  <c r="B55" i="2"/>
  <c r="B56" i="2"/>
  <c r="H56" i="2" s="1"/>
  <c r="B57" i="2"/>
  <c r="H57" i="2" s="1"/>
  <c r="B58" i="2"/>
  <c r="B59" i="2"/>
  <c r="B60" i="2"/>
  <c r="I60" i="2" s="1"/>
  <c r="B61" i="2"/>
  <c r="H61" i="2" s="1"/>
  <c r="B62" i="2"/>
  <c r="I62" i="2" s="1"/>
  <c r="B63" i="2"/>
  <c r="B64" i="2"/>
  <c r="I64" i="2" s="1"/>
  <c r="B65" i="2"/>
  <c r="I65" i="2" s="1"/>
  <c r="B66" i="2"/>
  <c r="B67" i="2"/>
  <c r="I67" i="2" s="1"/>
  <c r="B68" i="2"/>
  <c r="H68" i="2" s="1"/>
  <c r="B69" i="2"/>
  <c r="H69" i="2" s="1"/>
  <c r="B70" i="2"/>
  <c r="H70" i="2" s="1"/>
  <c r="B71" i="2"/>
  <c r="B72" i="2"/>
  <c r="H72" i="2" s="1"/>
  <c r="B73" i="2"/>
  <c r="I73" i="2" s="1"/>
  <c r="B74" i="2"/>
  <c r="I74" i="2" s="1"/>
  <c r="B75" i="2"/>
  <c r="H75" i="2" s="1"/>
  <c r="B76" i="2"/>
  <c r="I76" i="2" s="1"/>
  <c r="B77" i="2"/>
  <c r="I77" i="2" s="1"/>
  <c r="B78" i="2"/>
  <c r="B79" i="2"/>
  <c r="B80" i="2"/>
  <c r="I80" i="2" s="1"/>
  <c r="B81" i="2"/>
  <c r="I81" i="2" s="1"/>
  <c r="B82" i="2"/>
  <c r="H82" i="2" s="1"/>
  <c r="B83" i="2"/>
  <c r="B84" i="2"/>
  <c r="H84" i="2" s="1"/>
  <c r="B85" i="2"/>
  <c r="I85" i="2" s="1"/>
  <c r="B86" i="2"/>
  <c r="H86" i="2" s="1"/>
  <c r="B87" i="2"/>
  <c r="B88" i="2"/>
  <c r="B89" i="2"/>
  <c r="H89" i="2" s="1"/>
  <c r="B90" i="2"/>
  <c r="H90" i="2" s="1"/>
  <c r="B91" i="2"/>
  <c r="I91" i="2" s="1"/>
  <c r="B92" i="2"/>
  <c r="H92" i="2" s="1"/>
  <c r="B93" i="2"/>
  <c r="H93" i="2" s="1"/>
  <c r="B94" i="2"/>
  <c r="B95" i="2"/>
  <c r="B96" i="2"/>
  <c r="H96" i="2" s="1"/>
  <c r="B97" i="2"/>
  <c r="I97" i="2" s="1"/>
  <c r="B98" i="2"/>
  <c r="I98" i="2" s="1"/>
  <c r="B99" i="2"/>
  <c r="B100" i="2"/>
  <c r="H100" i="2" s="1"/>
  <c r="B101" i="2"/>
  <c r="I101" i="2" s="1"/>
  <c r="B102" i="2"/>
  <c r="I102" i="2" s="1"/>
  <c r="B103" i="2"/>
  <c r="H103" i="2" s="1"/>
  <c r="M4" i="2"/>
  <c r="L4" i="2"/>
  <c r="L5" i="2"/>
  <c r="M5" i="2"/>
  <c r="L6" i="2"/>
  <c r="M6" i="2"/>
  <c r="L8" i="2"/>
  <c r="M8" i="2"/>
  <c r="L9" i="2"/>
  <c r="M9" i="2"/>
  <c r="L10" i="2"/>
  <c r="M10" i="2"/>
  <c r="L11" i="2"/>
  <c r="M11" i="2"/>
  <c r="L12" i="2"/>
  <c r="M12" i="2"/>
  <c r="L13" i="2"/>
  <c r="M13" i="2"/>
  <c r="L14" i="2"/>
  <c r="M14" i="2"/>
  <c r="L15" i="2"/>
  <c r="M15" i="2"/>
  <c r="L16" i="2"/>
  <c r="M16" i="2"/>
  <c r="L17" i="2"/>
  <c r="M17" i="2"/>
  <c r="L18" i="2"/>
  <c r="M18" i="2"/>
  <c r="L19" i="2"/>
  <c r="M19" i="2"/>
  <c r="L20" i="2"/>
  <c r="M20" i="2"/>
  <c r="L21" i="2"/>
  <c r="M21" i="2"/>
  <c r="L22" i="2"/>
  <c r="M22" i="2"/>
  <c r="L23" i="2"/>
  <c r="M23" i="2"/>
  <c r="L24" i="2"/>
  <c r="M24" i="2"/>
  <c r="L25" i="2"/>
  <c r="M25" i="2"/>
  <c r="L26" i="2"/>
  <c r="M26" i="2"/>
  <c r="L27" i="2"/>
  <c r="M27" i="2"/>
  <c r="L28" i="2"/>
  <c r="M28" i="2"/>
  <c r="L29" i="2"/>
  <c r="M29" i="2"/>
  <c r="L30" i="2"/>
  <c r="M30" i="2"/>
  <c r="L31" i="2"/>
  <c r="M31" i="2"/>
  <c r="L32" i="2"/>
  <c r="M32" i="2"/>
  <c r="L33" i="2"/>
  <c r="M33" i="2"/>
  <c r="L34" i="2"/>
  <c r="M34" i="2"/>
  <c r="L35" i="2"/>
  <c r="M35" i="2"/>
  <c r="L36" i="2"/>
  <c r="M36" i="2"/>
  <c r="L37" i="2"/>
  <c r="M37" i="2"/>
  <c r="L38" i="2"/>
  <c r="M38" i="2"/>
  <c r="L39" i="2"/>
  <c r="M39" i="2"/>
  <c r="L40" i="2"/>
  <c r="M40" i="2"/>
  <c r="L41" i="2"/>
  <c r="M41" i="2"/>
  <c r="L42" i="2"/>
  <c r="M42" i="2"/>
  <c r="L43" i="2"/>
  <c r="M43" i="2"/>
  <c r="L44" i="2"/>
  <c r="M44" i="2"/>
  <c r="L45" i="2"/>
  <c r="M45" i="2"/>
  <c r="L46" i="2"/>
  <c r="M46" i="2"/>
  <c r="L47" i="2"/>
  <c r="M47" i="2"/>
  <c r="L48" i="2"/>
  <c r="M48" i="2"/>
  <c r="L49" i="2"/>
  <c r="M49" i="2"/>
  <c r="L50" i="2"/>
  <c r="M50" i="2"/>
  <c r="L51" i="2"/>
  <c r="M51" i="2"/>
  <c r="L52" i="2"/>
  <c r="M52" i="2"/>
  <c r="L53" i="2"/>
  <c r="M53" i="2"/>
  <c r="L54" i="2"/>
  <c r="M54" i="2"/>
  <c r="L55" i="2"/>
  <c r="M55" i="2"/>
  <c r="L56" i="2"/>
  <c r="M56" i="2"/>
  <c r="L57" i="2"/>
  <c r="M57" i="2"/>
  <c r="L58" i="2"/>
  <c r="M58" i="2"/>
  <c r="L59" i="2"/>
  <c r="M59" i="2"/>
  <c r="L60" i="2"/>
  <c r="M60" i="2"/>
  <c r="L61" i="2"/>
  <c r="M61" i="2"/>
  <c r="L62" i="2"/>
  <c r="M62" i="2"/>
  <c r="L63" i="2"/>
  <c r="M63" i="2"/>
  <c r="L64" i="2"/>
  <c r="M64" i="2"/>
  <c r="L65" i="2"/>
  <c r="M65" i="2"/>
  <c r="L66" i="2"/>
  <c r="M66" i="2"/>
  <c r="L67" i="2"/>
  <c r="M67" i="2"/>
  <c r="L68" i="2"/>
  <c r="M68" i="2"/>
  <c r="L69" i="2"/>
  <c r="M69" i="2"/>
  <c r="L70" i="2"/>
  <c r="M70" i="2"/>
  <c r="L71" i="2"/>
  <c r="M71" i="2"/>
  <c r="L72" i="2"/>
  <c r="M72" i="2"/>
  <c r="L73" i="2"/>
  <c r="M73" i="2"/>
  <c r="L74" i="2"/>
  <c r="M74" i="2"/>
  <c r="L75" i="2"/>
  <c r="M75" i="2"/>
  <c r="L76" i="2"/>
  <c r="M76" i="2"/>
  <c r="L77" i="2"/>
  <c r="M77" i="2"/>
  <c r="L78" i="2"/>
  <c r="M78" i="2"/>
  <c r="L79" i="2"/>
  <c r="M79" i="2"/>
  <c r="L80" i="2"/>
  <c r="M80" i="2"/>
  <c r="L81" i="2"/>
  <c r="M81" i="2"/>
  <c r="L82" i="2"/>
  <c r="M82" i="2"/>
  <c r="L83" i="2"/>
  <c r="M83" i="2"/>
  <c r="L84" i="2"/>
  <c r="M84" i="2"/>
  <c r="L85" i="2"/>
  <c r="M85" i="2"/>
  <c r="L86" i="2"/>
  <c r="M86" i="2"/>
  <c r="L87" i="2"/>
  <c r="M87" i="2"/>
  <c r="L88" i="2"/>
  <c r="M88" i="2"/>
  <c r="L89" i="2"/>
  <c r="M89" i="2"/>
  <c r="L90" i="2"/>
  <c r="M90" i="2"/>
  <c r="L91" i="2"/>
  <c r="M91" i="2"/>
  <c r="L92" i="2"/>
  <c r="M92" i="2"/>
  <c r="L93" i="2"/>
  <c r="M93" i="2"/>
  <c r="L94" i="2"/>
  <c r="M94" i="2"/>
  <c r="L95" i="2"/>
  <c r="M95" i="2"/>
  <c r="L96" i="2"/>
  <c r="M96" i="2"/>
  <c r="L97" i="2"/>
  <c r="M97" i="2"/>
  <c r="L98" i="2"/>
  <c r="M98" i="2"/>
  <c r="L99" i="2"/>
  <c r="M99" i="2"/>
  <c r="L100" i="2"/>
  <c r="M100" i="2"/>
  <c r="L101" i="2"/>
  <c r="M101" i="2"/>
  <c r="L102" i="2"/>
  <c r="M102" i="2"/>
  <c r="L103" i="2"/>
  <c r="M103" i="2"/>
  <c r="G20" i="21"/>
  <c r="G16" i="21"/>
  <c r="G22" i="23"/>
  <c r="G90" i="23" s="1"/>
  <c r="G23" i="23"/>
  <c r="G91" i="23" s="1"/>
  <c r="G24" i="23"/>
  <c r="G92" i="23" s="1"/>
  <c r="G55" i="10"/>
  <c r="G122" i="10" s="1"/>
  <c r="G54" i="10"/>
  <c r="G121" i="10" s="1"/>
  <c r="G53" i="10"/>
  <c r="G120" i="10" s="1"/>
  <c r="G52" i="10"/>
  <c r="G119" i="10" s="1"/>
  <c r="G51" i="10"/>
  <c r="G118" i="10" s="1"/>
  <c r="G50" i="10"/>
  <c r="G117" i="10" s="1"/>
  <c r="G49" i="10"/>
  <c r="G116" i="10" s="1"/>
  <c r="G48" i="10"/>
  <c r="G115" i="10" s="1"/>
  <c r="G47" i="10"/>
  <c r="G114" i="10" s="1"/>
  <c r="G46" i="10"/>
  <c r="G113" i="10" s="1"/>
  <c r="G45" i="10"/>
  <c r="G112" i="10" s="1"/>
  <c r="G44" i="10"/>
  <c r="G111" i="10" s="1"/>
  <c r="G43" i="10"/>
  <c r="G110" i="10" s="1"/>
  <c r="G42" i="10"/>
  <c r="G109" i="10" s="1"/>
  <c r="G41" i="10"/>
  <c r="G108" i="10" s="1"/>
  <c r="G38" i="10"/>
  <c r="G105" i="10" s="1"/>
  <c r="C19" i="21"/>
  <c r="C84" i="21" s="1"/>
  <c r="H107" i="2"/>
  <c r="C17" i="23"/>
  <c r="C85" i="23" s="1"/>
  <c r="C19" i="23"/>
  <c r="C87" i="23" s="1"/>
  <c r="C14" i="15"/>
  <c r="C79" i="15" s="1"/>
  <c r="C40" i="10"/>
  <c r="C107" i="10" s="1"/>
  <c r="I31" i="39"/>
  <c r="F31" i="39"/>
  <c r="D26" i="39"/>
  <c r="D69" i="39" s="1"/>
  <c r="D31" i="39"/>
  <c r="D74" i="39" s="1"/>
  <c r="I26" i="39"/>
  <c r="F26" i="39"/>
  <c r="E32" i="39"/>
  <c r="E75" i="39" s="1"/>
  <c r="E31" i="39"/>
  <c r="E74" i="39" s="1"/>
  <c r="E33" i="39"/>
  <c r="E76" i="39" s="1"/>
  <c r="E34" i="39"/>
  <c r="E77" i="39" s="1"/>
  <c r="E35" i="39"/>
  <c r="E78" i="39" s="1"/>
  <c r="E36" i="39"/>
  <c r="E79" i="39" s="1"/>
  <c r="E37" i="39"/>
  <c r="E80" i="39" s="1"/>
  <c r="E38" i="39"/>
  <c r="E81" i="39" s="1"/>
  <c r="E39" i="39"/>
  <c r="E82" i="39" s="1"/>
  <c r="E40" i="39"/>
  <c r="E83" i="39" s="1"/>
  <c r="E41" i="39"/>
  <c r="E84" i="39" s="1"/>
  <c r="E26" i="39"/>
  <c r="E69" i="39" s="1"/>
  <c r="F108" i="2"/>
  <c r="E108" i="2"/>
  <c r="C67" i="15"/>
  <c r="A8" i="39"/>
  <c r="A51" i="39" s="1"/>
  <c r="D108" i="2"/>
  <c r="C68" i="36"/>
  <c r="C33" i="10"/>
  <c r="C100" i="10" s="1"/>
  <c r="C49" i="10"/>
  <c r="C116" i="10" s="1"/>
  <c r="C15" i="15"/>
  <c r="C80" i="15" s="1"/>
  <c r="C17" i="15"/>
  <c r="C82" i="15" s="1"/>
  <c r="C21" i="23"/>
  <c r="C89" i="23" s="1"/>
  <c r="C14" i="23"/>
  <c r="C82" i="23" s="1"/>
  <c r="C20" i="10"/>
  <c r="C87" i="10" s="1"/>
  <c r="C34" i="10"/>
  <c r="C101" i="10" s="1"/>
  <c r="C50" i="10"/>
  <c r="C117" i="10" s="1"/>
  <c r="C18" i="23"/>
  <c r="C86" i="23" s="1"/>
  <c r="C18" i="10"/>
  <c r="C85" i="10" s="1"/>
  <c r="C47" i="10"/>
  <c r="C114" i="10" s="1"/>
  <c r="C17" i="21"/>
  <c r="C82" i="21" s="1"/>
  <c r="C15" i="23"/>
  <c r="C83" i="23" s="1"/>
  <c r="C13" i="23"/>
  <c r="C81" i="23" s="1"/>
  <c r="C16" i="21"/>
  <c r="C13" i="36"/>
  <c r="C79" i="36" s="1"/>
  <c r="C30" i="46"/>
  <c r="C19" i="10"/>
  <c r="C86" i="10" s="1"/>
  <c r="C24" i="36"/>
  <c r="C90" i="36" s="1"/>
  <c r="C23" i="36"/>
  <c r="C89" i="36" s="1"/>
  <c r="C17" i="36"/>
  <c r="C83" i="36" s="1"/>
  <c r="C16" i="36"/>
  <c r="C82" i="36" s="1"/>
  <c r="C24" i="23"/>
  <c r="C92" i="23" s="1"/>
  <c r="C20" i="21"/>
  <c r="C16" i="19"/>
  <c r="C81" i="19" s="1"/>
  <c r="C46" i="48"/>
  <c r="C15" i="19"/>
  <c r="C80" i="19" s="1"/>
  <c r="C23" i="23"/>
  <c r="C91" i="23" s="1"/>
  <c r="C14" i="21"/>
  <c r="C79" i="21" s="1"/>
  <c r="C21" i="36"/>
  <c r="C87" i="36" s="1"/>
  <c r="C20" i="36"/>
  <c r="C86" i="36" s="1"/>
  <c r="C31" i="36"/>
  <c r="C97" i="36" s="1"/>
  <c r="C32" i="36"/>
  <c r="C98" i="36" s="1"/>
  <c r="C33" i="36"/>
  <c r="C99" i="36" s="1"/>
  <c r="C34" i="36"/>
  <c r="C100" i="36" s="1"/>
  <c r="C35" i="36"/>
  <c r="C101" i="36" s="1"/>
  <c r="C36" i="36"/>
  <c r="C102" i="36" s="1"/>
  <c r="C37" i="36"/>
  <c r="C103" i="36" s="1"/>
  <c r="C38" i="36"/>
  <c r="C104" i="36" s="1"/>
  <c r="C39" i="36"/>
  <c r="C105" i="36" s="1"/>
  <c r="C40" i="36"/>
  <c r="C106" i="36" s="1"/>
  <c r="C41" i="36"/>
  <c r="C107" i="36" s="1"/>
  <c r="C42" i="36"/>
  <c r="C108" i="36" s="1"/>
  <c r="C43" i="36"/>
  <c r="C109" i="36" s="1"/>
  <c r="C44" i="36"/>
  <c r="C110" i="36" s="1"/>
  <c r="C45" i="36"/>
  <c r="C111" i="36" s="1"/>
  <c r="C46" i="36"/>
  <c r="C112" i="36" s="1"/>
  <c r="C47" i="36"/>
  <c r="C113" i="36" s="1"/>
  <c r="C48" i="36"/>
  <c r="C114" i="36" s="1"/>
  <c r="C49" i="36"/>
  <c r="C115" i="36" s="1"/>
  <c r="C50" i="36"/>
  <c r="C116" i="36" s="1"/>
  <c r="C51" i="36"/>
  <c r="C117" i="36" s="1"/>
  <c r="C52" i="36"/>
  <c r="C118" i="36" s="1"/>
  <c r="C53" i="36"/>
  <c r="C119" i="36" s="1"/>
  <c r="C54" i="36"/>
  <c r="C120" i="36" s="1"/>
  <c r="C55" i="36"/>
  <c r="C121" i="36" s="1"/>
  <c r="C56" i="36"/>
  <c r="C122" i="36" s="1"/>
  <c r="C57" i="36"/>
  <c r="C123" i="36" s="1"/>
  <c r="C14" i="19"/>
  <c r="C79" i="19" s="1"/>
  <c r="C22" i="23"/>
  <c r="C90" i="23" s="1"/>
  <c r="C15" i="21"/>
  <c r="C80" i="21" s="1"/>
  <c r="C19" i="36"/>
  <c r="C85" i="36" s="1"/>
  <c r="C57" i="10"/>
  <c r="C124" i="10" s="1"/>
  <c r="C35" i="47"/>
  <c r="C54" i="48"/>
  <c r="C34" i="48"/>
  <c r="C56" i="10"/>
  <c r="C123" i="10" s="1"/>
  <c r="C16" i="46"/>
  <c r="C31" i="47"/>
  <c r="C41" i="48"/>
  <c r="C25" i="48"/>
  <c r="C16" i="47"/>
  <c r="C33" i="46"/>
  <c r="C48" i="48"/>
  <c r="C32" i="48"/>
  <c r="C18" i="47"/>
  <c r="C58" i="10"/>
  <c r="C125" i="10" s="1"/>
  <c r="C29" i="46"/>
  <c r="C13" i="48"/>
  <c r="C43" i="48"/>
  <c r="C27" i="48"/>
  <c r="H29" i="47"/>
  <c r="G16" i="36"/>
  <c r="G82" i="36" s="1"/>
  <c r="H35" i="46"/>
  <c r="H33" i="46"/>
  <c r="H31" i="46"/>
  <c r="H29" i="46"/>
  <c r="H32" i="47"/>
  <c r="G32" i="47"/>
  <c r="C34" i="47"/>
  <c r="C30" i="47"/>
  <c r="C32" i="46"/>
  <c r="C28" i="46"/>
  <c r="G35" i="46"/>
  <c r="G33" i="46"/>
  <c r="G31" i="46"/>
  <c r="G29" i="46"/>
  <c r="H35" i="47"/>
  <c r="H31" i="47"/>
  <c r="G21" i="36"/>
  <c r="G87" i="36" s="1"/>
  <c r="C33" i="47"/>
  <c r="C29" i="47"/>
  <c r="C35" i="46"/>
  <c r="C31" i="46"/>
  <c r="H34" i="46"/>
  <c r="H32" i="46"/>
  <c r="H30" i="46"/>
  <c r="H34" i="47"/>
  <c r="H30" i="47"/>
  <c r="C19" i="47"/>
  <c r="G35" i="47"/>
  <c r="G31" i="47"/>
  <c r="C32" i="47"/>
  <c r="C28" i="47"/>
  <c r="C34" i="46"/>
  <c r="H28" i="46"/>
  <c r="H33" i="47"/>
  <c r="G24" i="36"/>
  <c r="G90" i="36" s="1"/>
  <c r="G32" i="36"/>
  <c r="G98" i="36" s="1"/>
  <c r="G36" i="36"/>
  <c r="G102" i="36" s="1"/>
  <c r="G40" i="36"/>
  <c r="G106" i="36" s="1"/>
  <c r="G44" i="36"/>
  <c r="G110" i="36" s="1"/>
  <c r="G48" i="36"/>
  <c r="G114" i="36" s="1"/>
  <c r="G52" i="36"/>
  <c r="G118" i="36" s="1"/>
  <c r="G56" i="36"/>
  <c r="G122" i="36" s="1"/>
  <c r="G31" i="36"/>
  <c r="G97" i="36" s="1"/>
  <c r="G35" i="36"/>
  <c r="G101" i="36" s="1"/>
  <c r="G39" i="36"/>
  <c r="G105" i="36" s="1"/>
  <c r="G43" i="36"/>
  <c r="G109" i="36" s="1"/>
  <c r="G47" i="36"/>
  <c r="G113" i="36" s="1"/>
  <c r="G51" i="36"/>
  <c r="G117" i="36" s="1"/>
  <c r="G55" i="36"/>
  <c r="G121" i="36" s="1"/>
  <c r="G56" i="10"/>
  <c r="G123" i="10" s="1"/>
  <c r="G57" i="10"/>
  <c r="G124" i="10" s="1"/>
  <c r="G58" i="10"/>
  <c r="G125" i="10" s="1"/>
  <c r="G34" i="36"/>
  <c r="G100" i="36" s="1"/>
  <c r="G38" i="36"/>
  <c r="G104" i="36" s="1"/>
  <c r="G42" i="36"/>
  <c r="G108" i="36" s="1"/>
  <c r="G46" i="36"/>
  <c r="G112" i="36" s="1"/>
  <c r="G50" i="36"/>
  <c r="G116" i="36" s="1"/>
  <c r="G54" i="36"/>
  <c r="G120" i="36" s="1"/>
  <c r="G23" i="36"/>
  <c r="G89" i="36" s="1"/>
  <c r="G20" i="36"/>
  <c r="G86" i="36" s="1"/>
  <c r="G33" i="36"/>
  <c r="G99" i="36" s="1"/>
  <c r="G37" i="36"/>
  <c r="G103" i="36" s="1"/>
  <c r="G41" i="36"/>
  <c r="G107" i="36" s="1"/>
  <c r="G45" i="36"/>
  <c r="G111" i="36" s="1"/>
  <c r="G49" i="36"/>
  <c r="G115" i="36" s="1"/>
  <c r="G53" i="36"/>
  <c r="G119" i="36" s="1"/>
  <c r="G57" i="36"/>
  <c r="G123" i="36" s="1"/>
  <c r="C18" i="15"/>
  <c r="C83" i="15" s="1"/>
  <c r="C22" i="36"/>
  <c r="C88" i="36" s="1"/>
  <c r="C18" i="32"/>
  <c r="C83" i="32" s="1"/>
  <c r="G22" i="36"/>
  <c r="G88" i="36" s="1"/>
  <c r="C19" i="46"/>
  <c r="C17" i="47"/>
  <c r="G28" i="47"/>
  <c r="F19" i="46"/>
  <c r="F27" i="46" s="1"/>
  <c r="C13" i="15"/>
  <c r="C78" i="15" s="1"/>
  <c r="C16" i="15"/>
  <c r="C81" i="15" s="1"/>
  <c r="G19" i="47"/>
  <c r="G27" i="47" s="1"/>
  <c r="H18" i="47"/>
  <c r="H26" i="47" s="1"/>
  <c r="G17" i="47"/>
  <c r="G25" i="47" s="1"/>
  <c r="H17" i="47"/>
  <c r="H25" i="47" s="1"/>
  <c r="H28" i="47"/>
  <c r="H19" i="46"/>
  <c r="H27" i="46" s="1"/>
  <c r="G19" i="46"/>
  <c r="G27" i="46" s="1"/>
  <c r="G18" i="15"/>
  <c r="G83" i="15" s="1"/>
  <c r="C18" i="36"/>
  <c r="C84" i="36" s="1"/>
  <c r="F17" i="47"/>
  <c r="F25" i="47" s="1"/>
  <c r="I20" i="39"/>
  <c r="F20" i="39"/>
  <c r="C24" i="47"/>
  <c r="I18" i="39"/>
  <c r="E18" i="39"/>
  <c r="E61" i="39" s="1"/>
  <c r="F18" i="39"/>
  <c r="H16" i="47"/>
  <c r="H24" i="47" s="1"/>
  <c r="G18" i="47"/>
  <c r="G26" i="47" s="1"/>
  <c r="G16" i="47"/>
  <c r="G24" i="47" s="1"/>
  <c r="H19" i="47"/>
  <c r="H27" i="47" s="1"/>
  <c r="H17" i="46"/>
  <c r="H25" i="46" s="1"/>
  <c r="H16" i="46"/>
  <c r="H24" i="46" s="1"/>
  <c r="G18" i="46"/>
  <c r="G26" i="46" s="1"/>
  <c r="G16" i="46"/>
  <c r="G24" i="46" s="1"/>
  <c r="G17" i="46"/>
  <c r="G25" i="46" s="1"/>
  <c r="H18" i="46"/>
  <c r="H26" i="46" s="1"/>
  <c r="F17" i="46"/>
  <c r="F25" i="46" s="1"/>
  <c r="C14" i="36"/>
  <c r="C80" i="36" s="1"/>
  <c r="F28" i="47"/>
  <c r="D20" i="39"/>
  <c r="D63" i="39" s="1"/>
  <c r="F19" i="47"/>
  <c r="F27" i="47" s="1"/>
  <c r="D18" i="39"/>
  <c r="D61" i="39" s="1"/>
  <c r="F16" i="47"/>
  <c r="F24" i="47" s="1"/>
  <c r="E20" i="39"/>
  <c r="E63" i="39" s="1"/>
  <c r="F16" i="46"/>
  <c r="F24" i="46" s="1"/>
  <c r="F18" i="15"/>
  <c r="F83" i="15" s="1"/>
  <c r="F18" i="46"/>
  <c r="F26" i="46" s="1"/>
  <c r="F18" i="47"/>
  <c r="F26" i="47" s="1"/>
  <c r="C18" i="46"/>
  <c r="C17" i="46"/>
  <c r="C20" i="48"/>
  <c r="C18" i="21"/>
  <c r="C83" i="21" s="1"/>
  <c r="C15" i="36"/>
  <c r="C81" i="36" s="1"/>
  <c r="C20" i="23"/>
  <c r="C88" i="23" s="1"/>
  <c r="C16" i="23"/>
  <c r="C84" i="23" s="1"/>
  <c r="C13" i="21"/>
  <c r="C78" i="21" s="1"/>
  <c r="C13" i="19"/>
  <c r="C78" i="19" s="1"/>
  <c r="F14" i="15"/>
  <c r="F79" i="15" s="1"/>
  <c r="G16" i="15"/>
  <c r="G81" i="15" s="1"/>
  <c r="G13" i="21"/>
  <c r="G78" i="21" s="1"/>
  <c r="G19" i="21"/>
  <c r="G84" i="21" s="1"/>
  <c r="G14" i="15"/>
  <c r="G79" i="15" s="1"/>
  <c r="G13" i="15"/>
  <c r="G78" i="15" s="1"/>
  <c r="F21" i="23"/>
  <c r="F89" i="23" s="1"/>
  <c r="F16" i="15"/>
  <c r="F81" i="15" s="1"/>
  <c r="F12" i="48"/>
  <c r="G17" i="36"/>
  <c r="G83" i="36" s="1"/>
  <c r="G17" i="15"/>
  <c r="G82" i="15" s="1"/>
  <c r="G15" i="15"/>
  <c r="G80" i="15" s="1"/>
  <c r="F14" i="36"/>
  <c r="F80" i="36" s="1"/>
  <c r="F13" i="15"/>
  <c r="F78" i="15" s="1"/>
  <c r="F15" i="15"/>
  <c r="F80" i="15" s="1"/>
  <c r="F17" i="15"/>
  <c r="F82" i="15" s="1"/>
  <c r="G14" i="23"/>
  <c r="G82" i="23" s="1"/>
  <c r="G14" i="21"/>
  <c r="G79" i="21" s="1"/>
  <c r="F13" i="21"/>
  <c r="F78" i="21" s="1"/>
  <c r="F13" i="19"/>
  <c r="F78" i="19" s="1"/>
  <c r="G16" i="23"/>
  <c r="G84" i="23" s="1"/>
  <c r="G18" i="36"/>
  <c r="G84" i="36" s="1"/>
  <c r="F16" i="23"/>
  <c r="F84" i="23" s="1"/>
  <c r="F18" i="21"/>
  <c r="F83" i="21" s="1"/>
  <c r="G15" i="21"/>
  <c r="G80" i="21" s="1"/>
  <c r="G14" i="19"/>
  <c r="G79" i="19" s="1"/>
  <c r="F20" i="23"/>
  <c r="F88" i="23" s="1"/>
  <c r="F15" i="19"/>
  <c r="F80" i="19" s="1"/>
  <c r="F19" i="21"/>
  <c r="F84" i="21" s="1"/>
  <c r="F14" i="21"/>
  <c r="F79" i="21" s="1"/>
  <c r="F15" i="36"/>
  <c r="F81" i="36" s="1"/>
  <c r="G21" i="23"/>
  <c r="G89" i="23" s="1"/>
  <c r="F18" i="23"/>
  <c r="F86" i="23" s="1"/>
  <c r="G13" i="23"/>
  <c r="G81" i="23" s="1"/>
  <c r="G20" i="23"/>
  <c r="G88" i="23" s="1"/>
  <c r="G13" i="19"/>
  <c r="G78" i="19" s="1"/>
  <c r="F15" i="21"/>
  <c r="F80" i="21" s="1"/>
  <c r="F17" i="23"/>
  <c r="F85" i="23" s="1"/>
  <c r="F15" i="23"/>
  <c r="F83" i="23" s="1"/>
  <c r="G19" i="36"/>
  <c r="G85" i="36" s="1"/>
  <c r="F14" i="23"/>
  <c r="F82" i="23" s="1"/>
  <c r="G18" i="21"/>
  <c r="G83" i="21" s="1"/>
  <c r="G15" i="19"/>
  <c r="G80" i="19" s="1"/>
  <c r="F14" i="19"/>
  <c r="F79" i="19" s="1"/>
  <c r="G17" i="23"/>
  <c r="G85" i="23" s="1"/>
  <c r="G18" i="23"/>
  <c r="G86" i="23" s="1"/>
  <c r="G17" i="21"/>
  <c r="G82" i="21" s="1"/>
  <c r="F18" i="36"/>
  <c r="F84" i="36" s="1"/>
  <c r="F17" i="36"/>
  <c r="F83" i="36" s="1"/>
  <c r="F13" i="23"/>
  <c r="F81" i="23" s="1"/>
  <c r="G19" i="23"/>
  <c r="G87" i="23" s="1"/>
  <c r="F19" i="23"/>
  <c r="F87" i="23" s="1"/>
  <c r="G15" i="23"/>
  <c r="G83" i="23" s="1"/>
  <c r="G13" i="36"/>
  <c r="G79" i="36" s="1"/>
  <c r="G15" i="36"/>
  <c r="G81" i="36" s="1"/>
  <c r="F17" i="21"/>
  <c r="F82" i="21" s="1"/>
  <c r="F19" i="36"/>
  <c r="F85" i="36" s="1"/>
  <c r="G14" i="36"/>
  <c r="G80" i="36" s="1"/>
  <c r="G13" i="48"/>
  <c r="E13" i="48" s="1"/>
  <c r="G12" i="48"/>
  <c r="E12" i="48" s="1"/>
  <c r="F15" i="48"/>
  <c r="C19" i="48"/>
  <c r="C31" i="48"/>
  <c r="C47" i="48"/>
  <c r="C16" i="48"/>
  <c r="C36" i="48"/>
  <c r="C52" i="48"/>
  <c r="C29" i="48"/>
  <c r="C45" i="48"/>
  <c r="C50" i="48"/>
  <c r="C30" i="48"/>
  <c r="C15" i="50"/>
  <c r="G17" i="48"/>
  <c r="E17" i="48" s="1"/>
  <c r="H65" i="2"/>
  <c r="C15" i="48"/>
  <c r="C35" i="48"/>
  <c r="C51" i="48"/>
  <c r="C24" i="48"/>
  <c r="C40" i="48"/>
  <c r="C56" i="48"/>
  <c r="C17" i="48"/>
  <c r="C33" i="48"/>
  <c r="C49" i="48"/>
  <c r="C22" i="48"/>
  <c r="C26" i="48"/>
  <c r="C14" i="48"/>
  <c r="G14" i="50"/>
  <c r="C13" i="50"/>
  <c r="C23" i="48"/>
  <c r="C39" i="48"/>
  <c r="C55" i="48"/>
  <c r="C28" i="48"/>
  <c r="C44" i="48"/>
  <c r="C12" i="48"/>
  <c r="C21" i="48"/>
  <c r="C37" i="48"/>
  <c r="C53" i="48"/>
  <c r="C18" i="48"/>
  <c r="C38" i="48"/>
  <c r="C42" i="48"/>
  <c r="G21" i="48"/>
  <c r="E21" i="48" s="1"/>
  <c r="G14" i="48"/>
  <c r="E14" i="48" s="1"/>
  <c r="G15" i="48"/>
  <c r="E15" i="48" s="1"/>
  <c r="G19" i="48"/>
  <c r="E19" i="48" s="1"/>
  <c r="F19" i="48"/>
  <c r="F16" i="48"/>
  <c r="F17" i="48"/>
  <c r="F33" i="48"/>
  <c r="G37" i="48"/>
  <c r="E37" i="48" s="1"/>
  <c r="F29" i="48"/>
  <c r="G20" i="48"/>
  <c r="E20" i="48" s="1"/>
  <c r="F14" i="48"/>
  <c r="G16" i="48"/>
  <c r="E16" i="48" s="1"/>
  <c r="F45" i="48"/>
  <c r="F18" i="48"/>
  <c r="F13" i="48"/>
  <c r="F21" i="48"/>
  <c r="G18" i="48"/>
  <c r="E18" i="48" s="1"/>
  <c r="G33" i="48"/>
  <c r="E33" i="48" s="1"/>
  <c r="F41" i="48"/>
  <c r="F25" i="48"/>
  <c r="G45" i="48"/>
  <c r="E45" i="48" s="1"/>
  <c r="G29" i="48"/>
  <c r="E29" i="48" s="1"/>
  <c r="F37" i="48"/>
  <c r="G41" i="48"/>
  <c r="E41" i="48" s="1"/>
  <c r="G25" i="48"/>
  <c r="E25" i="48" s="1"/>
  <c r="G46" i="48"/>
  <c r="E46" i="48" s="1"/>
  <c r="G42" i="48"/>
  <c r="E42" i="48" s="1"/>
  <c r="G38" i="48"/>
  <c r="E38" i="48" s="1"/>
  <c r="G34" i="48"/>
  <c r="E34" i="48" s="1"/>
  <c r="G30" i="48"/>
  <c r="E30" i="48" s="1"/>
  <c r="G26" i="48"/>
  <c r="E26" i="48" s="1"/>
  <c r="G22" i="48"/>
  <c r="E22" i="48" s="1"/>
  <c r="F44" i="48"/>
  <c r="F40" i="48"/>
  <c r="F36" i="48"/>
  <c r="F32" i="48"/>
  <c r="F28" i="48"/>
  <c r="F24" i="48"/>
  <c r="F13" i="50"/>
  <c r="F15" i="50"/>
  <c r="G47" i="48"/>
  <c r="E47" i="48" s="1"/>
  <c r="G43" i="48"/>
  <c r="E43" i="48" s="1"/>
  <c r="G39" i="48"/>
  <c r="E39" i="48" s="1"/>
  <c r="G35" i="48"/>
  <c r="E35" i="48" s="1"/>
  <c r="G31" i="48"/>
  <c r="E31" i="48" s="1"/>
  <c r="G27" i="48"/>
  <c r="E27" i="48" s="1"/>
  <c r="G23" i="48"/>
  <c r="E23" i="48" s="1"/>
  <c r="F47" i="48"/>
  <c r="F43" i="48"/>
  <c r="F39" i="48"/>
  <c r="F35" i="48"/>
  <c r="F31" i="48"/>
  <c r="F27" i="48"/>
  <c r="F23" i="48"/>
  <c r="G13" i="50"/>
  <c r="G15" i="50"/>
  <c r="G44" i="48"/>
  <c r="E44" i="48" s="1"/>
  <c r="G40" i="48"/>
  <c r="E40" i="48" s="1"/>
  <c r="G36" i="48"/>
  <c r="E36" i="48" s="1"/>
  <c r="G32" i="48"/>
  <c r="E32" i="48" s="1"/>
  <c r="G28" i="48"/>
  <c r="E28" i="48" s="1"/>
  <c r="G24" i="48"/>
  <c r="E24" i="48" s="1"/>
  <c r="F46" i="48"/>
  <c r="F42" i="48"/>
  <c r="F38" i="48"/>
  <c r="F34" i="48"/>
  <c r="F30" i="48"/>
  <c r="F26" i="48"/>
  <c r="F22" i="48"/>
  <c r="F14" i="50"/>
  <c r="D7" i="46" l="1"/>
  <c r="D4" i="15"/>
  <c r="D69" i="15" s="1"/>
  <c r="D4" i="23"/>
  <c r="D72" i="23" s="1"/>
  <c r="H62" i="2"/>
  <c r="H50" i="2"/>
  <c r="H101" i="2"/>
  <c r="D4" i="45"/>
  <c r="D4" i="19"/>
  <c r="D69" i="19" s="1"/>
  <c r="D4" i="21"/>
  <c r="D69" i="21" s="1"/>
  <c r="D4" i="36"/>
  <c r="D70" i="36" s="1"/>
  <c r="A22" i="21"/>
  <c r="A87" i="21" s="1"/>
  <c r="D87" i="21"/>
  <c r="A21" i="21"/>
  <c r="A86" i="21" s="1"/>
  <c r="D86" i="21"/>
  <c r="C26" i="36"/>
  <c r="C92" i="36" s="1"/>
  <c r="D92" i="36"/>
  <c r="G27" i="36"/>
  <c r="G93" i="36" s="1"/>
  <c r="D93" i="36"/>
  <c r="A26" i="36"/>
  <c r="D91" i="36"/>
  <c r="C54" i="58"/>
  <c r="C121" i="58" s="1"/>
  <c r="C50" i="58"/>
  <c r="C117" i="58" s="1"/>
  <c r="C46" i="58"/>
  <c r="C113" i="58" s="1"/>
  <c r="C42" i="58"/>
  <c r="C109" i="58" s="1"/>
  <c r="C38" i="58"/>
  <c r="C105" i="58" s="1"/>
  <c r="C53" i="58"/>
  <c r="C120" i="58" s="1"/>
  <c r="C49" i="58"/>
  <c r="C116" i="58" s="1"/>
  <c r="C45" i="58"/>
  <c r="C112" i="58" s="1"/>
  <c r="C41" i="58"/>
  <c r="C108" i="58" s="1"/>
  <c r="C37" i="58"/>
  <c r="C104" i="58" s="1"/>
  <c r="C52" i="58"/>
  <c r="C119" i="58" s="1"/>
  <c r="C48" i="58"/>
  <c r="C115" i="58" s="1"/>
  <c r="C44" i="58"/>
  <c r="C111" i="58" s="1"/>
  <c r="C40" i="58"/>
  <c r="C107" i="58" s="1"/>
  <c r="C36" i="58"/>
  <c r="C103" i="58" s="1"/>
  <c r="C55" i="58"/>
  <c r="C122" i="58" s="1"/>
  <c r="C51" i="58"/>
  <c r="C118" i="58" s="1"/>
  <c r="C47" i="58"/>
  <c r="C114" i="58" s="1"/>
  <c r="C43" i="58"/>
  <c r="C110" i="58" s="1"/>
  <c r="C39" i="58"/>
  <c r="C106" i="58" s="1"/>
  <c r="C35" i="58"/>
  <c r="C102" i="58" s="1"/>
  <c r="C26" i="45"/>
  <c r="C14" i="45"/>
  <c r="C13" i="45"/>
  <c r="C19" i="32"/>
  <c r="C84" i="32" s="1"/>
  <c r="C43" i="10"/>
  <c r="C110" i="10" s="1"/>
  <c r="C20" i="32"/>
  <c r="C85" i="32" s="1"/>
  <c r="C46" i="10"/>
  <c r="C113" i="10" s="1"/>
  <c r="C30" i="10"/>
  <c r="C97" i="10" s="1"/>
  <c r="C45" i="10"/>
  <c r="C112" i="10" s="1"/>
  <c r="C17" i="10"/>
  <c r="C84" i="10" s="1"/>
  <c r="C44" i="10"/>
  <c r="C111" i="10" s="1"/>
  <c r="G35" i="10"/>
  <c r="G102" i="10" s="1"/>
  <c r="G39" i="10"/>
  <c r="G106" i="10" s="1"/>
  <c r="C16" i="45"/>
  <c r="C25" i="45"/>
  <c r="H76" i="2"/>
  <c r="C16" i="10"/>
  <c r="C83" i="10" s="1"/>
  <c r="C15" i="10"/>
  <c r="C82" i="10" s="1"/>
  <c r="C15" i="45"/>
  <c r="C17" i="32"/>
  <c r="C82" i="32" s="1"/>
  <c r="C55" i="10"/>
  <c r="C122" i="10" s="1"/>
  <c r="C39" i="10"/>
  <c r="C106" i="10" s="1"/>
  <c r="C42" i="10"/>
  <c r="C109" i="10" s="1"/>
  <c r="C41" i="10"/>
  <c r="C108" i="10" s="1"/>
  <c r="C28" i="10"/>
  <c r="C95" i="10" s="1"/>
  <c r="C48" i="10"/>
  <c r="C115" i="10" s="1"/>
  <c r="G36" i="10"/>
  <c r="G103" i="10" s="1"/>
  <c r="G40" i="10"/>
  <c r="G107" i="10" s="1"/>
  <c r="C18" i="45"/>
  <c r="C30" i="45"/>
  <c r="C22" i="45"/>
  <c r="H67" i="2"/>
  <c r="I86" i="2"/>
  <c r="C16" i="32"/>
  <c r="C81" i="32" s="1"/>
  <c r="C51" i="10"/>
  <c r="C118" i="10" s="1"/>
  <c r="C35" i="10"/>
  <c r="C102" i="10" s="1"/>
  <c r="C54" i="10"/>
  <c r="C121" i="10" s="1"/>
  <c r="C38" i="10"/>
  <c r="C105" i="10" s="1"/>
  <c r="C53" i="10"/>
  <c r="C120" i="10" s="1"/>
  <c r="C37" i="10"/>
  <c r="C104" i="10" s="1"/>
  <c r="C36" i="10"/>
  <c r="C103" i="10" s="1"/>
  <c r="C52" i="10"/>
  <c r="C119" i="10" s="1"/>
  <c r="G52" i="58"/>
  <c r="G119" i="58" s="1"/>
  <c r="G48" i="58"/>
  <c r="G115" i="58" s="1"/>
  <c r="G44" i="58"/>
  <c r="G111" i="58" s="1"/>
  <c r="G55" i="58"/>
  <c r="G122" i="58" s="1"/>
  <c r="G51" i="58"/>
  <c r="G118" i="58" s="1"/>
  <c r="G47" i="58"/>
  <c r="G114" i="58" s="1"/>
  <c r="G43" i="58"/>
  <c r="G110" i="58" s="1"/>
  <c r="G54" i="58"/>
  <c r="G121" i="58" s="1"/>
  <c r="G50" i="58"/>
  <c r="G117" i="58" s="1"/>
  <c r="G46" i="58"/>
  <c r="G113" i="58" s="1"/>
  <c r="G42" i="58"/>
  <c r="G109" i="58" s="1"/>
  <c r="G53" i="58"/>
  <c r="G120" i="58" s="1"/>
  <c r="G49" i="58"/>
  <c r="G116" i="58" s="1"/>
  <c r="G45" i="58"/>
  <c r="G112" i="58" s="1"/>
  <c r="G41" i="58"/>
  <c r="G108" i="58" s="1"/>
  <c r="C29" i="45"/>
  <c r="C21" i="45"/>
  <c r="I30" i="2"/>
  <c r="I13" i="2"/>
  <c r="I18" i="2"/>
  <c r="H13" i="2"/>
  <c r="I7" i="2"/>
  <c r="H7" i="2"/>
  <c r="H18" i="2"/>
  <c r="F16" i="32"/>
  <c r="F81" i="32" s="1"/>
  <c r="G14" i="45"/>
  <c r="C22" i="21"/>
  <c r="C87" i="21" s="1"/>
  <c r="C85" i="21"/>
  <c r="G17" i="32"/>
  <c r="G82" i="32" s="1"/>
  <c r="I49" i="2"/>
  <c r="I93" i="2"/>
  <c r="H97" i="2"/>
  <c r="G19" i="10"/>
  <c r="G86" i="10" s="1"/>
  <c r="C21" i="21"/>
  <c r="C86" i="21" s="1"/>
  <c r="C81" i="21"/>
  <c r="G26" i="10"/>
  <c r="G93" i="10" s="1"/>
  <c r="I89" i="2"/>
  <c r="H81" i="2"/>
  <c r="G13" i="32"/>
  <c r="G78" i="32" s="1"/>
  <c r="I84" i="2"/>
  <c r="I56" i="2"/>
  <c r="C30" i="51"/>
  <c r="C28" i="51"/>
  <c r="C26" i="51"/>
  <c r="C24" i="51"/>
  <c r="C22" i="51"/>
  <c r="C20" i="51"/>
  <c r="C18" i="51"/>
  <c r="C16" i="51"/>
  <c r="C14" i="51"/>
  <c r="C25" i="51"/>
  <c r="C17" i="51"/>
  <c r="C27" i="51"/>
  <c r="C19" i="51"/>
  <c r="C29" i="51"/>
  <c r="C21" i="51"/>
  <c r="C13" i="51"/>
  <c r="C23" i="51"/>
  <c r="C15" i="51"/>
  <c r="C18" i="62"/>
  <c r="C83" i="62" s="1"/>
  <c r="C14" i="62"/>
  <c r="C79" i="62" s="1"/>
  <c r="C19" i="62"/>
  <c r="C84" i="62" s="1"/>
  <c r="C15" i="62"/>
  <c r="C80" i="62" s="1"/>
  <c r="C20" i="62"/>
  <c r="C85" i="62" s="1"/>
  <c r="C16" i="62"/>
  <c r="C81" i="62" s="1"/>
  <c r="C14" i="32"/>
  <c r="C79" i="32" s="1"/>
  <c r="C17" i="62"/>
  <c r="C82" i="62" s="1"/>
  <c r="C13" i="62"/>
  <c r="C78" i="62" s="1"/>
  <c r="C13" i="32"/>
  <c r="C78" i="32" s="1"/>
  <c r="C28" i="45"/>
  <c r="C24" i="45"/>
  <c r="C20" i="45"/>
  <c r="F15" i="32"/>
  <c r="F80" i="32" s="1"/>
  <c r="I103" i="2"/>
  <c r="I100" i="2"/>
  <c r="C15" i="32"/>
  <c r="C80" i="32" s="1"/>
  <c r="C27" i="10"/>
  <c r="C94" i="10" s="1"/>
  <c r="C17" i="45"/>
  <c r="C27" i="45"/>
  <c r="C23" i="45"/>
  <c r="C19" i="45"/>
  <c r="F20" i="32"/>
  <c r="F85" i="32" s="1"/>
  <c r="G25" i="45"/>
  <c r="G21" i="45"/>
  <c r="F13" i="32"/>
  <c r="F78" i="32" s="1"/>
  <c r="G16" i="32"/>
  <c r="G81" i="32" s="1"/>
  <c r="F18" i="32"/>
  <c r="F83" i="32" s="1"/>
  <c r="G32" i="10"/>
  <c r="G99" i="10" s="1"/>
  <c r="G28" i="51"/>
  <c r="G24" i="51"/>
  <c r="G20" i="51"/>
  <c r="G16" i="51"/>
  <c r="G27" i="51"/>
  <c r="G23" i="51"/>
  <c r="G19" i="51"/>
  <c r="G18" i="51"/>
  <c r="F13" i="45"/>
  <c r="G30" i="51"/>
  <c r="G29" i="51"/>
  <c r="G22" i="51"/>
  <c r="G21" i="51"/>
  <c r="G17" i="51"/>
  <c r="G15" i="51"/>
  <c r="G14" i="51"/>
  <c r="G13" i="51"/>
  <c r="G26" i="51"/>
  <c r="G25" i="51"/>
  <c r="G20" i="62"/>
  <c r="G85" i="62" s="1"/>
  <c r="F20" i="62"/>
  <c r="F85" i="62" s="1"/>
  <c r="F19" i="62"/>
  <c r="F84" i="62" s="1"/>
  <c r="G18" i="62"/>
  <c r="G83" i="62" s="1"/>
  <c r="F15" i="62"/>
  <c r="F80" i="62" s="1"/>
  <c r="G14" i="62"/>
  <c r="G79" i="62" s="1"/>
  <c r="F17" i="62"/>
  <c r="F82" i="62" s="1"/>
  <c r="G19" i="62"/>
  <c r="G84" i="62" s="1"/>
  <c r="G15" i="62"/>
  <c r="G80" i="62" s="1"/>
  <c r="F18" i="62"/>
  <c r="F83" i="62" s="1"/>
  <c r="G17" i="62"/>
  <c r="G82" i="62" s="1"/>
  <c r="F14" i="62"/>
  <c r="F79" i="62" s="1"/>
  <c r="G13" i="62"/>
  <c r="G78" i="62" s="1"/>
  <c r="G16" i="62"/>
  <c r="G81" i="62" s="1"/>
  <c r="F13" i="62"/>
  <c r="F78" i="62" s="1"/>
  <c r="F16" i="62"/>
  <c r="F81" i="62" s="1"/>
  <c r="G20" i="58"/>
  <c r="G87" i="58" s="1"/>
  <c r="G19" i="58"/>
  <c r="G86" i="58" s="1"/>
  <c r="G18" i="58"/>
  <c r="G85" i="58" s="1"/>
  <c r="G17" i="58"/>
  <c r="G84" i="58" s="1"/>
  <c r="G16" i="58"/>
  <c r="G83" i="58" s="1"/>
  <c r="G15" i="58"/>
  <c r="G82" i="58" s="1"/>
  <c r="G14" i="58"/>
  <c r="G81" i="58" s="1"/>
  <c r="G13" i="58"/>
  <c r="G80" i="58" s="1"/>
  <c r="G33" i="58"/>
  <c r="G100" i="58" s="1"/>
  <c r="G32" i="58"/>
  <c r="G99" i="58" s="1"/>
  <c r="G31" i="58"/>
  <c r="G98" i="58" s="1"/>
  <c r="G30" i="58"/>
  <c r="G97" i="58" s="1"/>
  <c r="G29" i="58"/>
  <c r="G96" i="58" s="1"/>
  <c r="G28" i="58"/>
  <c r="G95" i="58" s="1"/>
  <c r="G27" i="58"/>
  <c r="G94" i="58" s="1"/>
  <c r="G26" i="58"/>
  <c r="G93" i="58" s="1"/>
  <c r="F20" i="58"/>
  <c r="F19" i="58"/>
  <c r="F86" i="58" s="1"/>
  <c r="F18" i="58"/>
  <c r="F85" i="58" s="1"/>
  <c r="F17" i="58"/>
  <c r="F84" i="58" s="1"/>
  <c r="F16" i="58"/>
  <c r="F15" i="58"/>
  <c r="F82" i="58" s="1"/>
  <c r="F14" i="58"/>
  <c r="F81" i="58" s="1"/>
  <c r="F80" i="58"/>
  <c r="F33" i="58"/>
  <c r="F100" i="58" s="1"/>
  <c r="F30" i="58"/>
  <c r="F97" i="58" s="1"/>
  <c r="F29" i="58"/>
  <c r="F96" i="58" s="1"/>
  <c r="F28" i="58"/>
  <c r="F95" i="58" s="1"/>
  <c r="F27" i="58"/>
  <c r="F94" i="58" s="1"/>
  <c r="F26" i="58"/>
  <c r="F93" i="58" s="1"/>
  <c r="F31" i="58"/>
  <c r="F98" i="58" s="1"/>
  <c r="F32" i="58"/>
  <c r="F99" i="58" s="1"/>
  <c r="G22" i="58"/>
  <c r="G89" i="58" s="1"/>
  <c r="G21" i="58"/>
  <c r="G88" i="58" s="1"/>
  <c r="F21" i="21"/>
  <c r="F86" i="21" s="1"/>
  <c r="F81" i="21"/>
  <c r="F27" i="36"/>
  <c r="F93" i="36" s="1"/>
  <c r="F90" i="36"/>
  <c r="G30" i="45"/>
  <c r="G26" i="45"/>
  <c r="G22" i="45"/>
  <c r="E17" i="39"/>
  <c r="E60" i="39" s="1"/>
  <c r="G15" i="45"/>
  <c r="G18" i="32"/>
  <c r="G83" i="32" s="1"/>
  <c r="G18" i="10"/>
  <c r="G85" i="10" s="1"/>
  <c r="G22" i="21"/>
  <c r="G87" i="21" s="1"/>
  <c r="G85" i="21"/>
  <c r="G16" i="45"/>
  <c r="F19" i="32"/>
  <c r="F84" i="32" s="1"/>
  <c r="F26" i="36"/>
  <c r="F92" i="36" s="1"/>
  <c r="F86" i="36"/>
  <c r="G28" i="45"/>
  <c r="G24" i="45"/>
  <c r="G20" i="45"/>
  <c r="G29" i="45"/>
  <c r="G18" i="45"/>
  <c r="G13" i="45"/>
  <c r="G15" i="32"/>
  <c r="G80" i="32" s="1"/>
  <c r="G17" i="10"/>
  <c r="G84" i="10" s="1"/>
  <c r="F14" i="32"/>
  <c r="F79" i="32" s="1"/>
  <c r="G14" i="32"/>
  <c r="G79" i="32" s="1"/>
  <c r="F17" i="32"/>
  <c r="F82" i="32" s="1"/>
  <c r="G20" i="32"/>
  <c r="G85" i="32" s="1"/>
  <c r="G19" i="32"/>
  <c r="G84" i="32" s="1"/>
  <c r="G28" i="10"/>
  <c r="G95" i="10" s="1"/>
  <c r="G20" i="10"/>
  <c r="G87" i="10" s="1"/>
  <c r="G21" i="21"/>
  <c r="G86" i="21" s="1"/>
  <c r="G81" i="21"/>
  <c r="G17" i="45"/>
  <c r="F22" i="21"/>
  <c r="F87" i="21" s="1"/>
  <c r="F85" i="21"/>
  <c r="F25" i="36"/>
  <c r="F91" i="36" s="1"/>
  <c r="F82" i="36"/>
  <c r="G27" i="45"/>
  <c r="G23" i="45"/>
  <c r="G19" i="45"/>
  <c r="C25" i="36"/>
  <c r="C91" i="36" s="1"/>
  <c r="C27" i="36"/>
  <c r="C93" i="36" s="1"/>
  <c r="G26" i="36"/>
  <c r="G92" i="36" s="1"/>
  <c r="A27" i="36"/>
  <c r="A93" i="36" s="1"/>
  <c r="A25" i="36"/>
  <c r="A91" i="36" s="1"/>
  <c r="A92" i="36"/>
  <c r="D84" i="15"/>
  <c r="A84" i="15"/>
  <c r="I36" i="2"/>
  <c r="H24" i="2"/>
  <c r="G29" i="10"/>
  <c r="G96" i="10" s="1"/>
  <c r="D7" i="58"/>
  <c r="E60" i="58" s="1"/>
  <c r="D8" i="58"/>
  <c r="A21" i="10"/>
  <c r="A88" i="10" s="1"/>
  <c r="A22" i="10"/>
  <c r="A89" i="10" s="1"/>
  <c r="D88" i="10"/>
  <c r="C32" i="10"/>
  <c r="C99" i="10" s="1"/>
  <c r="C32" i="58"/>
  <c r="C99" i="58" s="1"/>
  <c r="C28" i="58"/>
  <c r="C95" i="58" s="1"/>
  <c r="C17" i="58"/>
  <c r="C84" i="58" s="1"/>
  <c r="C13" i="58"/>
  <c r="C80" i="58" s="1"/>
  <c r="C31" i="58"/>
  <c r="C98" i="58" s="1"/>
  <c r="C27" i="58"/>
  <c r="C94" i="58" s="1"/>
  <c r="C21" i="58"/>
  <c r="C88" i="58" s="1"/>
  <c r="C20" i="58"/>
  <c r="C87" i="58" s="1"/>
  <c r="C16" i="58"/>
  <c r="C83" i="58" s="1"/>
  <c r="C34" i="58"/>
  <c r="C101" i="58" s="1"/>
  <c r="C30" i="58"/>
  <c r="C97" i="58" s="1"/>
  <c r="C26" i="58"/>
  <c r="C93" i="58" s="1"/>
  <c r="C19" i="58"/>
  <c r="C86" i="58" s="1"/>
  <c r="C15" i="58"/>
  <c r="C82" i="58" s="1"/>
  <c r="C33" i="58"/>
  <c r="C100" i="58" s="1"/>
  <c r="C29" i="58"/>
  <c r="C96" i="58" s="1"/>
  <c r="C18" i="58"/>
  <c r="C85" i="58" s="1"/>
  <c r="C14" i="58"/>
  <c r="C81" i="58" s="1"/>
  <c r="C22" i="58"/>
  <c r="C89" i="58" s="1"/>
  <c r="I44" i="2"/>
  <c r="H11" i="2"/>
  <c r="G31" i="10"/>
  <c r="G98" i="10" s="1"/>
  <c r="I90" i="2"/>
  <c r="C27" i="46"/>
  <c r="I38" i="2"/>
  <c r="G33" i="10"/>
  <c r="G100" i="10" s="1"/>
  <c r="H80" i="2"/>
  <c r="E28" i="39"/>
  <c r="E71" i="39" s="1"/>
  <c r="G34" i="10"/>
  <c r="G101" i="10" s="1"/>
  <c r="H85" i="2"/>
  <c r="H77" i="2"/>
  <c r="I53" i="2"/>
  <c r="H73" i="2"/>
  <c r="C13" i="10"/>
  <c r="C80" i="10" s="1"/>
  <c r="I45" i="2"/>
  <c r="G27" i="10"/>
  <c r="G94" i="10" s="1"/>
  <c r="C14" i="10"/>
  <c r="C81" i="10" s="1"/>
  <c r="C31" i="10"/>
  <c r="C98" i="10" s="1"/>
  <c r="C26" i="10"/>
  <c r="C93" i="10" s="1"/>
  <c r="C29" i="10"/>
  <c r="C96" i="10" s="1"/>
  <c r="I61" i="2"/>
  <c r="I57" i="2"/>
  <c r="I92" i="2"/>
  <c r="E25" i="39"/>
  <c r="E68" i="39" s="1"/>
  <c r="I96" i="2"/>
  <c r="I19" i="39"/>
  <c r="I33" i="2"/>
  <c r="G30" i="10"/>
  <c r="G97" i="10" s="1"/>
  <c r="I43" i="2"/>
  <c r="H41" i="2"/>
  <c r="H36" i="2"/>
  <c r="F26" i="10" s="1"/>
  <c r="F93" i="10" s="1"/>
  <c r="H38" i="2"/>
  <c r="F28" i="10" s="1"/>
  <c r="F95" i="10" s="1"/>
  <c r="H44" i="2"/>
  <c r="F34" i="10" s="1"/>
  <c r="F101" i="10" s="1"/>
  <c r="I40" i="2"/>
  <c r="H37" i="2"/>
  <c r="F27" i="10" s="1"/>
  <c r="F94" i="10" s="1"/>
  <c r="I35" i="2"/>
  <c r="I32" i="2"/>
  <c r="H33" i="2"/>
  <c r="F19" i="15"/>
  <c r="F84" i="15" s="1"/>
  <c r="D40" i="46"/>
  <c r="I24" i="2"/>
  <c r="H52" i="2"/>
  <c r="H6" i="2"/>
  <c r="H27" i="2"/>
  <c r="I11" i="2"/>
  <c r="F8" i="10"/>
  <c r="F75" i="10" s="1"/>
  <c r="D75" i="10"/>
  <c r="G106" i="2"/>
  <c r="F106" i="2"/>
  <c r="H102" i="2"/>
  <c r="G16" i="10"/>
  <c r="G83" i="10" s="1"/>
  <c r="I68" i="2"/>
  <c r="I82" i="2"/>
  <c r="G14" i="10"/>
  <c r="G81" i="10" s="1"/>
  <c r="H91" i="2"/>
  <c r="H32" i="2"/>
  <c r="F25" i="39"/>
  <c r="I25" i="39"/>
  <c r="I37" i="2"/>
  <c r="H26" i="2"/>
  <c r="H10" i="2"/>
  <c r="I72" i="2"/>
  <c r="I9" i="2"/>
  <c r="I10" i="2"/>
  <c r="F17" i="39"/>
  <c r="F60" i="39" s="1"/>
  <c r="H4" i="2"/>
  <c r="D17" i="39" s="1"/>
  <c r="D60" i="39" s="1"/>
  <c r="D24" i="39"/>
  <c r="D67" i="39" s="1"/>
  <c r="H60" i="2"/>
  <c r="H48" i="2"/>
  <c r="H98" i="2"/>
  <c r="H64" i="2"/>
  <c r="H40" i="2"/>
  <c r="C21" i="10"/>
  <c r="C88" i="10" s="1"/>
  <c r="H78" i="2"/>
  <c r="I78" i="2"/>
  <c r="I71" i="2"/>
  <c r="H71" i="2"/>
  <c r="I63" i="2"/>
  <c r="H63" i="2"/>
  <c r="H55" i="2"/>
  <c r="I55" i="2"/>
  <c r="H39" i="2"/>
  <c r="I39" i="2"/>
  <c r="H31" i="2"/>
  <c r="I31" i="2"/>
  <c r="H23" i="2"/>
  <c r="I23" i="2"/>
  <c r="H15" i="2"/>
  <c r="D28" i="39" s="1"/>
  <c r="D71" i="39" s="1"/>
  <c r="I15" i="2"/>
  <c r="G22" i="10"/>
  <c r="G89" i="10" s="1"/>
  <c r="C22" i="10"/>
  <c r="C89" i="10" s="1"/>
  <c r="E106" i="2"/>
  <c r="I8" i="2"/>
  <c r="I29" i="2"/>
  <c r="C25" i="46"/>
  <c r="E29" i="39"/>
  <c r="E72" i="39" s="1"/>
  <c r="H58" i="2"/>
  <c r="I58" i="2"/>
  <c r="H42" i="2"/>
  <c r="F32" i="10" s="1"/>
  <c r="F99" i="10" s="1"/>
  <c r="I42" i="2"/>
  <c r="H22" i="2"/>
  <c r="I22" i="2"/>
  <c r="H14" i="2"/>
  <c r="D27" i="39" s="1"/>
  <c r="D70" i="39" s="1"/>
  <c r="I14" i="2"/>
  <c r="I30" i="39"/>
  <c r="D106" i="2"/>
  <c r="I12" i="2"/>
  <c r="I25" i="2"/>
  <c r="H35" i="2"/>
  <c r="I17" i="2"/>
  <c r="G21" i="10"/>
  <c r="G88" i="10" s="1"/>
  <c r="G19" i="15"/>
  <c r="G84" i="15" s="1"/>
  <c r="I70" i="2"/>
  <c r="I27" i="2"/>
  <c r="H51" i="2"/>
  <c r="E22" i="39"/>
  <c r="E65" i="39" s="1"/>
  <c r="F21" i="39"/>
  <c r="I21" i="39"/>
  <c r="H43" i="2"/>
  <c r="F31" i="10" s="1"/>
  <c r="F98" i="10" s="1"/>
  <c r="E19" i="39"/>
  <c r="E62" i="39" s="1"/>
  <c r="F27" i="39"/>
  <c r="I99" i="2"/>
  <c r="H99" i="2"/>
  <c r="I95" i="2"/>
  <c r="H95" i="2"/>
  <c r="H88" i="2"/>
  <c r="I88" i="2"/>
  <c r="E107" i="2"/>
  <c r="I59" i="2"/>
  <c r="H59" i="2"/>
  <c r="I19" i="2"/>
  <c r="H19" i="2"/>
  <c r="E23" i="39"/>
  <c r="E66" i="39" s="1"/>
  <c r="E27" i="39"/>
  <c r="E70" i="39" s="1"/>
  <c r="F24" i="39"/>
  <c r="F23" i="39"/>
  <c r="D19" i="39"/>
  <c r="D62" i="39" s="1"/>
  <c r="I22" i="39"/>
  <c r="E21" i="39"/>
  <c r="E64" i="39" s="1"/>
  <c r="I16" i="2"/>
  <c r="I20" i="2"/>
  <c r="I29" i="39"/>
  <c r="F28" i="39"/>
  <c r="E30" i="39"/>
  <c r="E73" i="39" s="1"/>
  <c r="I24" i="39"/>
  <c r="F22" i="39"/>
  <c r="H5" i="2"/>
  <c r="G13" i="10"/>
  <c r="G80" i="10" s="1"/>
  <c r="G15" i="10"/>
  <c r="G82" i="10" s="1"/>
  <c r="F30" i="39"/>
  <c r="A27" i="47"/>
  <c r="C27" i="47"/>
  <c r="I75" i="2"/>
  <c r="D23" i="39"/>
  <c r="D66" i="39" s="1"/>
  <c r="I66" i="2"/>
  <c r="H66" i="2"/>
  <c r="H34" i="2"/>
  <c r="I34" i="2"/>
  <c r="C26" i="47"/>
  <c r="D40" i="47"/>
  <c r="G25" i="36"/>
  <c r="G91" i="36" s="1"/>
  <c r="I4" i="2"/>
  <c r="I5" i="2"/>
  <c r="H74" i="2"/>
  <c r="F19" i="39"/>
  <c r="E24" i="39"/>
  <c r="E67" i="39" s="1"/>
  <c r="I23" i="39"/>
  <c r="I47" i="2"/>
  <c r="H30" i="2"/>
  <c r="C19" i="15"/>
  <c r="C84" i="15" s="1"/>
  <c r="I54" i="2"/>
  <c r="I27" i="39"/>
  <c r="I94" i="2"/>
  <c r="H94" i="2"/>
  <c r="H87" i="2"/>
  <c r="I87" i="2"/>
  <c r="I83" i="2"/>
  <c r="H83" i="2"/>
  <c r="I79" i="2"/>
  <c r="H79" i="2"/>
  <c r="F29" i="39"/>
  <c r="H29" i="2"/>
  <c r="H25" i="2"/>
  <c r="H21" i="2"/>
  <c r="H17" i="2"/>
  <c r="H9" i="2"/>
  <c r="D22" i="39" s="1"/>
  <c r="D65" i="39" s="1"/>
  <c r="F107" i="2"/>
  <c r="D107" i="2"/>
  <c r="I69" i="2"/>
  <c r="I41" i="2"/>
  <c r="I21" i="2"/>
  <c r="H20" i="2"/>
  <c r="F14" i="10" s="1"/>
  <c r="F81" i="10" s="1"/>
  <c r="H16" i="2"/>
  <c r="D29" i="39" s="1"/>
  <c r="D72" i="39" s="1"/>
  <c r="H12" i="2"/>
  <c r="D25" i="39" s="1"/>
  <c r="D68" i="39" s="1"/>
  <c r="H8" i="2"/>
  <c r="J19" i="39"/>
  <c r="J23" i="39"/>
  <c r="J27" i="39"/>
  <c r="I17" i="39"/>
  <c r="I60" i="39" s="1"/>
  <c r="J24" i="39"/>
  <c r="J28" i="39"/>
  <c r="J21" i="39"/>
  <c r="J25" i="39"/>
  <c r="J29" i="39"/>
  <c r="J22" i="39"/>
  <c r="J30" i="39"/>
  <c r="J17" i="39"/>
  <c r="J60" i="39" s="1"/>
  <c r="I28" i="39"/>
  <c r="D30" i="39"/>
  <c r="D73" i="39" s="1"/>
  <c r="D4" i="10"/>
  <c r="D71" i="10" s="1"/>
  <c r="E85" i="39"/>
  <c r="I85" i="39"/>
  <c r="I28" i="2"/>
  <c r="I26" i="2"/>
  <c r="I6" i="2"/>
  <c r="H46" i="2"/>
  <c r="G107" i="2"/>
  <c r="B4" i="29"/>
  <c r="F21" i="58" l="1"/>
  <c r="F88" i="58" s="1"/>
  <c r="F83" i="58"/>
  <c r="F22" i="58"/>
  <c r="F89" i="58" s="1"/>
  <c r="F87" i="58"/>
  <c r="F15" i="10"/>
  <c r="F82" i="10" s="1"/>
  <c r="F33" i="10"/>
  <c r="F100" i="10" s="1"/>
  <c r="F30" i="10"/>
  <c r="F97" i="10" s="1"/>
  <c r="F8" i="58"/>
  <c r="F75" i="58" s="1"/>
  <c r="D75" i="58"/>
  <c r="F16" i="10"/>
  <c r="F83" i="10" s="1"/>
  <c r="F29" i="10"/>
  <c r="F96" i="10" s="1"/>
  <c r="F7" i="58"/>
  <c r="F74" i="58" s="1"/>
  <c r="D74" i="58"/>
  <c r="E127" i="58"/>
  <c r="F20" i="10"/>
  <c r="F18" i="10"/>
  <c r="F85" i="10" s="1"/>
  <c r="F19" i="10"/>
  <c r="F86" i="10" s="1"/>
  <c r="F13" i="10"/>
  <c r="F80" i="10" s="1"/>
  <c r="F17" i="10"/>
  <c r="F84" i="10" s="1"/>
  <c r="D21" i="39"/>
  <c r="D64" i="39" s="1"/>
  <c r="B5" i="29"/>
  <c r="F21" i="10" l="1"/>
  <c r="F88" i="10" s="1"/>
  <c r="F87" i="10"/>
  <c r="F22" i="10"/>
  <c r="F89" i="10" s="1"/>
  <c r="B6" i="29"/>
  <c r="D8" i="15" s="1"/>
  <c r="F8" i="15" l="1"/>
  <c r="F73" i="15" s="1"/>
  <c r="D73" i="15"/>
  <c r="B7" i="29"/>
  <c r="D7" i="15"/>
  <c r="D8" i="61" l="1"/>
  <c r="D7" i="61"/>
  <c r="F7" i="15"/>
  <c r="F72" i="15" s="1"/>
  <c r="D72" i="15"/>
  <c r="E123" i="15"/>
  <c r="B8" i="29"/>
  <c r="D8" i="32"/>
  <c r="E123" i="61" l="1"/>
  <c r="F7" i="61"/>
  <c r="F72" i="61" s="1"/>
  <c r="D72" i="61"/>
  <c r="F8" i="61"/>
  <c r="F73" i="61" s="1"/>
  <c r="D73" i="61"/>
  <c r="F8" i="32"/>
  <c r="F73" i="32" s="1"/>
  <c r="D73" i="32"/>
  <c r="B9" i="29"/>
  <c r="D7" i="32"/>
  <c r="E58" i="32" l="1"/>
  <c r="E123" i="32" s="1"/>
  <c r="D72" i="32"/>
  <c r="F7" i="32"/>
  <c r="F72" i="32" s="1"/>
  <c r="B10" i="29"/>
  <c r="B11" i="29" l="1"/>
  <c r="D7" i="23"/>
  <c r="D8" i="23"/>
  <c r="F8" i="23" l="1"/>
  <c r="F76" i="23" s="1"/>
  <c r="D76" i="23"/>
  <c r="E61" i="23"/>
  <c r="E129" i="23" s="1"/>
  <c r="D75" i="23"/>
  <c r="F7" i="23"/>
  <c r="F75" i="23" s="1"/>
  <c r="B12" i="29"/>
  <c r="B13" i="29" l="1"/>
  <c r="B14" i="29" s="1"/>
  <c r="D7" i="36"/>
  <c r="D8" i="36"/>
  <c r="D74" i="36" s="1"/>
  <c r="F7" i="36" l="1"/>
  <c r="F73" i="36" s="1"/>
  <c r="E125" i="36"/>
  <c r="D73" i="36"/>
  <c r="F8" i="36"/>
  <c r="F74" i="36" s="1"/>
  <c r="D7" i="21"/>
  <c r="B15" i="29"/>
  <c r="D8" i="21"/>
  <c r="D73" i="21" s="1"/>
  <c r="D7" i="19"/>
  <c r="D72" i="19" s="1"/>
  <c r="F7" i="21" l="1"/>
  <c r="F72" i="21" s="1"/>
  <c r="E123" i="21"/>
  <c r="D72" i="21"/>
  <c r="F7" i="19"/>
  <c r="F72" i="19" s="1"/>
  <c r="F8" i="21"/>
  <c r="F73" i="21" s="1"/>
  <c r="B16" i="29"/>
  <c r="D8" i="19"/>
  <c r="D73" i="19" s="1"/>
  <c r="F8" i="19" l="1"/>
  <c r="F73" i="19" s="1"/>
  <c r="B17" i="29"/>
  <c r="D8" i="45"/>
  <c r="E8" i="45" s="1"/>
  <c r="D7" i="45"/>
  <c r="E7" i="45" s="1"/>
  <c r="B18" i="29" l="1"/>
  <c r="B19" i="29" l="1"/>
  <c r="D8" i="50"/>
  <c r="F8" i="50" s="1"/>
  <c r="D7" i="50"/>
  <c r="F7" i="50" s="1"/>
  <c r="B20" i="29" l="1"/>
  <c r="B21" i="29" l="1"/>
  <c r="D7" i="51"/>
  <c r="F7" i="51" s="1"/>
  <c r="D8" i="51"/>
  <c r="F8" i="51" s="1"/>
  <c r="B22" i="29" l="1"/>
  <c r="D6" i="48"/>
  <c r="E6" i="48" s="1"/>
  <c r="F7" i="48"/>
  <c r="G7" i="48" s="1"/>
  <c r="D7" i="48"/>
  <c r="E7" i="48" s="1"/>
  <c r="F6" i="48"/>
  <c r="G6" i="48" s="1"/>
  <c r="B23" i="29" l="1"/>
  <c r="B24" i="29" l="1"/>
  <c r="F7" i="52"/>
  <c r="G7" i="52" s="1"/>
  <c r="D6" i="52"/>
  <c r="E6" i="52" s="1"/>
  <c r="D7" i="52"/>
  <c r="E7" i="52" s="1"/>
  <c r="F6" i="52" l="1"/>
  <c r="G6" i="52" s="1"/>
  <c r="D8" i="67"/>
  <c r="D7" i="66"/>
  <c r="D7" i="63"/>
  <c r="D7" i="68"/>
  <c r="D8" i="64"/>
  <c r="D7" i="62"/>
  <c r="D7" i="70"/>
  <c r="D7" i="67"/>
  <c r="D8" i="62"/>
  <c r="D8" i="68"/>
  <c r="D8" i="63"/>
  <c r="D8" i="66"/>
  <c r="D8" i="70"/>
  <c r="D7" i="64"/>
  <c r="D71" i="67" l="1"/>
  <c r="F7" i="67"/>
  <c r="F71" i="67" s="1"/>
  <c r="E57" i="67"/>
  <c r="E121" i="67" s="1"/>
  <c r="D76" i="63"/>
  <c r="F8" i="63"/>
  <c r="F76" i="63" s="1"/>
  <c r="D75" i="63"/>
  <c r="E61" i="63"/>
  <c r="E129" i="63" s="1"/>
  <c r="F7" i="63"/>
  <c r="F75" i="63" s="1"/>
  <c r="F7" i="68"/>
  <c r="F72" i="68" s="1"/>
  <c r="E123" i="68"/>
  <c r="D72" i="68"/>
  <c r="D72" i="70"/>
  <c r="F7" i="70"/>
  <c r="F72" i="70" s="1"/>
  <c r="D73" i="64"/>
  <c r="E125" i="64"/>
  <c r="F7" i="64"/>
  <c r="F73" i="64" s="1"/>
  <c r="D73" i="68"/>
  <c r="F8" i="68"/>
  <c r="F73" i="68" s="1"/>
  <c r="E58" i="62"/>
  <c r="E123" i="62" s="1"/>
  <c r="F7" i="62"/>
  <c r="F72" i="62" s="1"/>
  <c r="D72" i="62"/>
  <c r="D71" i="66"/>
  <c r="E57" i="66"/>
  <c r="E121" i="66" s="1"/>
  <c r="F7" i="66"/>
  <c r="F71" i="66" s="1"/>
  <c r="D72" i="66"/>
  <c r="F8" i="66"/>
  <c r="F72" i="66" s="1"/>
  <c r="D73" i="70"/>
  <c r="F8" i="70"/>
  <c r="F73" i="70" s="1"/>
  <c r="D73" i="62"/>
  <c r="F8" i="62"/>
  <c r="F73" i="62" s="1"/>
  <c r="D74" i="64"/>
  <c r="F8" i="64"/>
  <c r="F74" i="64" s="1"/>
  <c r="D72" i="67"/>
  <c r="F8" i="67"/>
  <c r="F72" i="67" s="1"/>
</calcChain>
</file>

<file path=xl/sharedStrings.xml><?xml version="1.0" encoding="utf-8"?>
<sst xmlns="http://schemas.openxmlformats.org/spreadsheetml/2006/main" count="1982" uniqueCount="543">
  <si>
    <t>学校番号</t>
    <rPh sb="0" eb="2">
      <t>ガッコウ</t>
    </rPh>
    <rPh sb="2" eb="4">
      <t>バンゴウ</t>
    </rPh>
    <phoneticPr fontId="2"/>
  </si>
  <si>
    <t>名称</t>
    <rPh sb="0" eb="2">
      <t>メイショウ</t>
    </rPh>
    <phoneticPr fontId="2"/>
  </si>
  <si>
    <t>略称学校名</t>
    <rPh sb="0" eb="2">
      <t>リャクショウ</t>
    </rPh>
    <rPh sb="2" eb="5">
      <t>ガッコウメイ</t>
    </rPh>
    <phoneticPr fontId="2"/>
  </si>
  <si>
    <t>氏名</t>
    <rPh sb="0" eb="2">
      <t>シメイ</t>
    </rPh>
    <phoneticPr fontId="2"/>
  </si>
  <si>
    <t>入学年度</t>
    <rPh sb="0" eb="2">
      <t>ニュウガク</t>
    </rPh>
    <rPh sb="2" eb="4">
      <t>ネンド</t>
    </rPh>
    <phoneticPr fontId="2"/>
  </si>
  <si>
    <t>性別</t>
    <rPh sb="0" eb="2">
      <t>セイベツ</t>
    </rPh>
    <phoneticPr fontId="2"/>
  </si>
  <si>
    <t>部員番号</t>
    <rPh sb="0" eb="2">
      <t>ブイン</t>
    </rPh>
    <rPh sb="2" eb="4">
      <t>バンゴウ</t>
    </rPh>
    <phoneticPr fontId="2"/>
  </si>
  <si>
    <t>名字</t>
    <rPh sb="0" eb="2">
      <t>ミョウジ</t>
    </rPh>
    <phoneticPr fontId="2"/>
  </si>
  <si>
    <t>名前</t>
    <rPh sb="0" eb="2">
      <t>ナマエ</t>
    </rPh>
    <phoneticPr fontId="2"/>
  </si>
  <si>
    <t>登録番号重複の有無</t>
    <rPh sb="0" eb="2">
      <t>トウロク</t>
    </rPh>
    <rPh sb="2" eb="4">
      <t>バンゴウ</t>
    </rPh>
    <rPh sb="4" eb="6">
      <t>ジュウフク</t>
    </rPh>
    <rPh sb="7" eb="9">
      <t>ウム</t>
    </rPh>
    <phoneticPr fontId="2"/>
  </si>
  <si>
    <t>校　名</t>
    <rPh sb="0" eb="1">
      <t>コウ</t>
    </rPh>
    <rPh sb="2" eb="3">
      <t>メイ</t>
    </rPh>
    <phoneticPr fontId="2"/>
  </si>
  <si>
    <t>監督名</t>
    <rPh sb="0" eb="2">
      <t>カントク</t>
    </rPh>
    <rPh sb="2" eb="3">
      <t>メイ</t>
    </rPh>
    <phoneticPr fontId="2"/>
  </si>
  <si>
    <t>立　順</t>
    <rPh sb="0" eb="1">
      <t>タ</t>
    </rPh>
    <rPh sb="2" eb="3">
      <t>ジュン</t>
    </rPh>
    <phoneticPr fontId="2"/>
  </si>
  <si>
    <t>選　　手　　名</t>
    <rPh sb="0" eb="1">
      <t>セン</t>
    </rPh>
    <rPh sb="3" eb="4">
      <t>テ</t>
    </rPh>
    <rPh sb="6" eb="7">
      <t>メイ</t>
    </rPh>
    <phoneticPr fontId="2"/>
  </si>
  <si>
    <t>学　年</t>
    <rPh sb="0" eb="1">
      <t>ガク</t>
    </rPh>
    <rPh sb="2" eb="3">
      <t>トシ</t>
    </rPh>
    <phoneticPr fontId="2"/>
  </si>
  <si>
    <t>（４はＡチーム補欠、８はＢチーム補欠です）</t>
    <rPh sb="7" eb="9">
      <t>ホケツ</t>
    </rPh>
    <rPh sb="16" eb="18">
      <t>ホケツ</t>
    </rPh>
    <phoneticPr fontId="2"/>
  </si>
  <si>
    <t>Ａ</t>
    <phoneticPr fontId="2"/>
  </si>
  <si>
    <t>Ｂ</t>
    <phoneticPr fontId="2"/>
  </si>
  <si>
    <t>チーム</t>
    <phoneticPr fontId="2"/>
  </si>
  <si>
    <t>Ａ</t>
    <phoneticPr fontId="2"/>
  </si>
  <si>
    <t>Ｂ</t>
    <phoneticPr fontId="2"/>
  </si>
  <si>
    <t>個</t>
  </si>
  <si>
    <t>チーム</t>
    <phoneticPr fontId="2"/>
  </si>
  <si>
    <t>今年度</t>
    <rPh sb="0" eb="3">
      <t>コンネンド</t>
    </rPh>
    <phoneticPr fontId="2"/>
  </si>
  <si>
    <t>（６は補欠です）</t>
    <rPh sb="3" eb="5">
      <t>ホケツ</t>
    </rPh>
    <phoneticPr fontId="2"/>
  </si>
  <si>
    <t>男子</t>
    <rPh sb="0" eb="2">
      <t>ダンシ</t>
    </rPh>
    <phoneticPr fontId="2"/>
  </si>
  <si>
    <t>女子</t>
    <rPh sb="0" eb="2">
      <t>ジョシ</t>
    </rPh>
    <phoneticPr fontId="2"/>
  </si>
  <si>
    <t>1年</t>
    <rPh sb="0" eb="2">
      <t>イチネン</t>
    </rPh>
    <phoneticPr fontId="2"/>
  </si>
  <si>
    <t>2年</t>
    <rPh sb="0" eb="2">
      <t>ニネン</t>
    </rPh>
    <phoneticPr fontId="2"/>
  </si>
  <si>
    <t>3年</t>
    <rPh sb="0" eb="2">
      <t>サンネン</t>
    </rPh>
    <phoneticPr fontId="2"/>
  </si>
  <si>
    <t>合計</t>
    <rPh sb="0" eb="2">
      <t>ゴウケイ</t>
    </rPh>
    <phoneticPr fontId="2"/>
  </si>
  <si>
    <t>ｶｳﾝﾄ</t>
    <phoneticPr fontId="2"/>
  </si>
  <si>
    <t>立順</t>
    <rPh sb="0" eb="1">
      <t>タ</t>
    </rPh>
    <rPh sb="1" eb="2">
      <t>ジュン</t>
    </rPh>
    <phoneticPr fontId="2"/>
  </si>
  <si>
    <t>登録番号</t>
    <rPh sb="0" eb="2">
      <t>トウロク</t>
    </rPh>
    <rPh sb="2" eb="4">
      <t>バンゴウ</t>
    </rPh>
    <phoneticPr fontId="2"/>
  </si>
  <si>
    <t>Ａ</t>
    <phoneticPr fontId="2"/>
  </si>
  <si>
    <t>顧問名を入力</t>
    <rPh sb="0" eb="2">
      <t>コモン</t>
    </rPh>
    <rPh sb="2" eb="3">
      <t>メイ</t>
    </rPh>
    <rPh sb="4" eb="6">
      <t>ニュウリョク</t>
    </rPh>
    <phoneticPr fontId="2"/>
  </si>
  <si>
    <t>登録番号を入力</t>
    <rPh sb="0" eb="2">
      <t>トウロク</t>
    </rPh>
    <rPh sb="2" eb="4">
      <t>バンゴウ</t>
    </rPh>
    <rPh sb="5" eb="7">
      <t>ニュウリョク</t>
    </rPh>
    <phoneticPr fontId="2"/>
  </si>
  <si>
    <t>申込締切</t>
    <rPh sb="0" eb="2">
      <t>モウシコミ</t>
    </rPh>
    <rPh sb="2" eb="4">
      <t>シメキリ</t>
    </rPh>
    <phoneticPr fontId="2"/>
  </si>
  <si>
    <t>大会開催日</t>
    <rPh sb="0" eb="2">
      <t>タイカイ</t>
    </rPh>
    <rPh sb="2" eb="5">
      <t>カイサイビ</t>
    </rPh>
    <phoneticPr fontId="2"/>
  </si>
  <si>
    <t>大会番号</t>
    <rPh sb="0" eb="2">
      <t>タイカイ</t>
    </rPh>
    <rPh sb="2" eb="4">
      <t>バンゴウ</t>
    </rPh>
    <phoneticPr fontId="2"/>
  </si>
  <si>
    <t>参加申込締切</t>
    <rPh sb="0" eb="2">
      <t>サンカ</t>
    </rPh>
    <rPh sb="2" eb="4">
      <t>モウシコミ</t>
    </rPh>
    <rPh sb="4" eb="6">
      <t>シメキリ</t>
    </rPh>
    <phoneticPr fontId="2"/>
  </si>
  <si>
    <t>申込先</t>
    <rPh sb="0" eb="3">
      <t>モウシコミサキ</t>
    </rPh>
    <phoneticPr fontId="2"/>
  </si>
  <si>
    <t>大会名</t>
    <rPh sb="0" eb="3">
      <t>タイカイメイ</t>
    </rPh>
    <phoneticPr fontId="2"/>
  </si>
  <si>
    <t>関東個人予選　女子</t>
    <rPh sb="0" eb="2">
      <t>カントウ</t>
    </rPh>
    <rPh sb="2" eb="4">
      <t>コジン</t>
    </rPh>
    <rPh sb="4" eb="6">
      <t>ヨセン</t>
    </rPh>
    <rPh sb="7" eb="9">
      <t>ジョシ</t>
    </rPh>
    <phoneticPr fontId="2"/>
  </si>
  <si>
    <t>関東個人予選　男子</t>
    <rPh sb="0" eb="2">
      <t>カントウ</t>
    </rPh>
    <rPh sb="2" eb="4">
      <t>コジン</t>
    </rPh>
    <rPh sb="4" eb="6">
      <t>ヨセン</t>
    </rPh>
    <rPh sb="7" eb="9">
      <t>ダンシ</t>
    </rPh>
    <phoneticPr fontId="2"/>
  </si>
  <si>
    <t>高体連弓道専門部大会申込ｱﾄﾞﾚｽ</t>
    <rPh sb="0" eb="3">
      <t>コウタイレン</t>
    </rPh>
    <rPh sb="3" eb="5">
      <t>キュウドウ</t>
    </rPh>
    <rPh sb="5" eb="8">
      <t>センモンブ</t>
    </rPh>
    <rPh sb="8" eb="10">
      <t>タイカイ</t>
    </rPh>
    <rPh sb="10" eb="12">
      <t>モウシコミ</t>
    </rPh>
    <phoneticPr fontId="2"/>
  </si>
  <si>
    <t>gunkyumi@yahoo.co.jp</t>
    <phoneticPr fontId="2"/>
  </si>
  <si>
    <t>重複ﾁｪｯｸ</t>
    <rPh sb="0" eb="2">
      <t>ジュウフク</t>
    </rPh>
    <phoneticPr fontId="2"/>
  </si>
  <si>
    <t>ｲﾝﾊｲ予選　男子</t>
    <rPh sb="4" eb="6">
      <t>ヨセン</t>
    </rPh>
    <phoneticPr fontId="2"/>
  </si>
  <si>
    <t>ｲﾝﾊｲ予選　女子</t>
    <phoneticPr fontId="2"/>
  </si>
  <si>
    <t>地区大会</t>
    <rPh sb="0" eb="2">
      <t>チク</t>
    </rPh>
    <rPh sb="2" eb="4">
      <t>タイカイ</t>
    </rPh>
    <phoneticPr fontId="2"/>
  </si>
  <si>
    <t>チーム</t>
    <phoneticPr fontId="2"/>
  </si>
  <si>
    <t>各地区委員のﾒｰﾙｱﾄﾞﾚｽ・FAXに送信してください。</t>
    <rPh sb="0" eb="1">
      <t>カク</t>
    </rPh>
    <rPh sb="1" eb="3">
      <t>チク</t>
    </rPh>
    <rPh sb="3" eb="5">
      <t>イイン</t>
    </rPh>
    <rPh sb="19" eb="21">
      <t>ソウシン</t>
    </rPh>
    <phoneticPr fontId="2"/>
  </si>
  <si>
    <t>弓のだぶり</t>
    <rPh sb="0" eb="1">
      <t>ユミ</t>
    </rPh>
    <phoneticPr fontId="2"/>
  </si>
  <si>
    <t>ありなし</t>
    <phoneticPr fontId="2"/>
  </si>
  <si>
    <t>だぶる立順</t>
    <rPh sb="3" eb="4">
      <t>タ</t>
    </rPh>
    <rPh sb="4" eb="5">
      <t>ジュン</t>
    </rPh>
    <phoneticPr fontId="2"/>
  </si>
  <si>
    <t>Ａ</t>
    <phoneticPr fontId="2"/>
  </si>
  <si>
    <t>Ｂ</t>
    <phoneticPr fontId="2"/>
  </si>
  <si>
    <t>Ｃ</t>
    <phoneticPr fontId="2"/>
  </si>
  <si>
    <t>Ｃ</t>
    <phoneticPr fontId="2"/>
  </si>
  <si>
    <t>Ｃ</t>
    <phoneticPr fontId="2"/>
  </si>
  <si>
    <t>Ａ</t>
    <phoneticPr fontId="2"/>
  </si>
  <si>
    <t>（弓のダブったもの同士が近い番号にならないように考えてください）</t>
    <rPh sb="1" eb="2">
      <t>ユミ</t>
    </rPh>
    <phoneticPr fontId="2"/>
  </si>
  <si>
    <t>中毛</t>
    <rPh sb="0" eb="2">
      <t>チュウモウ</t>
    </rPh>
    <phoneticPr fontId="2"/>
  </si>
  <si>
    <t>前　橋</t>
    <rPh sb="0" eb="1">
      <t>マエ</t>
    </rPh>
    <rPh sb="2" eb="3">
      <t>ハシ</t>
    </rPh>
    <phoneticPr fontId="2"/>
  </si>
  <si>
    <t>前　工</t>
    <rPh sb="0" eb="1">
      <t>マエ</t>
    </rPh>
    <rPh sb="2" eb="3">
      <t>コウ</t>
    </rPh>
    <phoneticPr fontId="2"/>
  </si>
  <si>
    <t>前　商</t>
    <rPh sb="0" eb="1">
      <t>マエ</t>
    </rPh>
    <rPh sb="2" eb="3">
      <t>ショウ</t>
    </rPh>
    <phoneticPr fontId="2"/>
  </si>
  <si>
    <t>勢　農</t>
    <rPh sb="0" eb="1">
      <t>ゼイ</t>
    </rPh>
    <rPh sb="2" eb="3">
      <t>ノウ</t>
    </rPh>
    <phoneticPr fontId="2"/>
  </si>
  <si>
    <t>前　女</t>
    <rPh sb="0" eb="1">
      <t>マエ</t>
    </rPh>
    <rPh sb="2" eb="3">
      <t>ジョ</t>
    </rPh>
    <phoneticPr fontId="2"/>
  </si>
  <si>
    <t>市前橋</t>
    <rPh sb="0" eb="1">
      <t>イチ</t>
    </rPh>
    <rPh sb="1" eb="3">
      <t>マエバシ</t>
    </rPh>
    <phoneticPr fontId="2"/>
  </si>
  <si>
    <t>前　南</t>
    <rPh sb="0" eb="1">
      <t>マエ</t>
    </rPh>
    <rPh sb="2" eb="3">
      <t>ミナミ</t>
    </rPh>
    <phoneticPr fontId="2"/>
  </si>
  <si>
    <t>共　愛</t>
    <rPh sb="0" eb="1">
      <t>キョウ</t>
    </rPh>
    <rPh sb="2" eb="3">
      <t>アイ</t>
    </rPh>
    <phoneticPr fontId="2"/>
  </si>
  <si>
    <t>育　英</t>
    <rPh sb="0" eb="1">
      <t>イク</t>
    </rPh>
    <rPh sb="2" eb="3">
      <t>エイ</t>
    </rPh>
    <phoneticPr fontId="2"/>
  </si>
  <si>
    <t>前　東</t>
    <rPh sb="0" eb="1">
      <t>マエ</t>
    </rPh>
    <rPh sb="2" eb="3">
      <t>ヒガシ</t>
    </rPh>
    <phoneticPr fontId="2"/>
  </si>
  <si>
    <t>前　西</t>
    <rPh sb="0" eb="1">
      <t>マエ</t>
    </rPh>
    <rPh sb="2" eb="3">
      <t>ニシ</t>
    </rPh>
    <phoneticPr fontId="2"/>
  </si>
  <si>
    <t>伊　工</t>
    <rPh sb="0" eb="1">
      <t>イ</t>
    </rPh>
    <rPh sb="2" eb="3">
      <t>コウ</t>
    </rPh>
    <phoneticPr fontId="2"/>
  </si>
  <si>
    <t>清　明</t>
    <rPh sb="0" eb="1">
      <t>セイ</t>
    </rPh>
    <rPh sb="2" eb="3">
      <t>メイ</t>
    </rPh>
    <phoneticPr fontId="2"/>
  </si>
  <si>
    <t>四ツ葉</t>
    <rPh sb="0" eb="1">
      <t>ヨ</t>
    </rPh>
    <rPh sb="2" eb="3">
      <t>バ</t>
    </rPh>
    <phoneticPr fontId="2"/>
  </si>
  <si>
    <t>興　陽</t>
    <rPh sb="0" eb="1">
      <t>コウ</t>
    </rPh>
    <rPh sb="2" eb="3">
      <t>ヨウ</t>
    </rPh>
    <phoneticPr fontId="2"/>
  </si>
  <si>
    <t>玉　村</t>
    <rPh sb="0" eb="1">
      <t>タマ</t>
    </rPh>
    <rPh sb="2" eb="3">
      <t>ムラ</t>
    </rPh>
    <phoneticPr fontId="2"/>
  </si>
  <si>
    <t>伊勢崎</t>
    <rPh sb="0" eb="3">
      <t>イセサキ</t>
    </rPh>
    <phoneticPr fontId="2"/>
  </si>
  <si>
    <t>桐　生</t>
    <rPh sb="0" eb="1">
      <t>キリ</t>
    </rPh>
    <rPh sb="2" eb="3">
      <t>ショウ</t>
    </rPh>
    <phoneticPr fontId="2"/>
  </si>
  <si>
    <t>桐　商</t>
    <rPh sb="0" eb="1">
      <t>キリ</t>
    </rPh>
    <rPh sb="2" eb="3">
      <t>ショウ</t>
    </rPh>
    <phoneticPr fontId="2"/>
  </si>
  <si>
    <t>樹　徳</t>
    <rPh sb="0" eb="1">
      <t>ジュ</t>
    </rPh>
    <rPh sb="2" eb="3">
      <t>トク</t>
    </rPh>
    <phoneticPr fontId="2"/>
  </si>
  <si>
    <t>東毛</t>
    <rPh sb="0" eb="2">
      <t>トウモウ</t>
    </rPh>
    <phoneticPr fontId="2"/>
  </si>
  <si>
    <t>大間々</t>
    <rPh sb="0" eb="3">
      <t>オオママ</t>
    </rPh>
    <phoneticPr fontId="2"/>
  </si>
  <si>
    <t>太　田</t>
    <rPh sb="0" eb="1">
      <t>フトシ</t>
    </rPh>
    <rPh sb="2" eb="3">
      <t>タ</t>
    </rPh>
    <phoneticPr fontId="2"/>
  </si>
  <si>
    <t>太　女</t>
    <rPh sb="0" eb="1">
      <t>フトシ</t>
    </rPh>
    <rPh sb="2" eb="3">
      <t>オンナ</t>
    </rPh>
    <phoneticPr fontId="2"/>
  </si>
  <si>
    <t>新田暁</t>
    <rPh sb="0" eb="2">
      <t>ニッタ</t>
    </rPh>
    <rPh sb="2" eb="3">
      <t>アカツキ</t>
    </rPh>
    <phoneticPr fontId="2"/>
  </si>
  <si>
    <t>関　学</t>
    <rPh sb="0" eb="1">
      <t>セキ</t>
    </rPh>
    <rPh sb="2" eb="3">
      <t>ガク</t>
    </rPh>
    <phoneticPr fontId="2"/>
  </si>
  <si>
    <t>大　泉</t>
    <rPh sb="0" eb="1">
      <t>ダイ</t>
    </rPh>
    <rPh sb="2" eb="3">
      <t>イズミ</t>
    </rPh>
    <phoneticPr fontId="2"/>
  </si>
  <si>
    <t>館商工</t>
    <rPh sb="0" eb="1">
      <t>カン</t>
    </rPh>
    <rPh sb="1" eb="3">
      <t>ショウコウ</t>
    </rPh>
    <phoneticPr fontId="2"/>
  </si>
  <si>
    <t>渋　女</t>
    <rPh sb="0" eb="1">
      <t>シブ</t>
    </rPh>
    <rPh sb="2" eb="3">
      <t>ジョ</t>
    </rPh>
    <phoneticPr fontId="2"/>
  </si>
  <si>
    <t>渋　工</t>
    <rPh sb="0" eb="1">
      <t>シブ</t>
    </rPh>
    <rPh sb="2" eb="3">
      <t>コウ</t>
    </rPh>
    <phoneticPr fontId="2"/>
  </si>
  <si>
    <t>青　翠</t>
    <rPh sb="0" eb="1">
      <t>アオ</t>
    </rPh>
    <rPh sb="2" eb="3">
      <t>ミドリ</t>
    </rPh>
    <phoneticPr fontId="2"/>
  </si>
  <si>
    <t>尾　瀬</t>
    <rPh sb="0" eb="1">
      <t>オ</t>
    </rPh>
    <rPh sb="2" eb="3">
      <t>セ</t>
    </rPh>
    <phoneticPr fontId="2"/>
  </si>
  <si>
    <t>利根実</t>
    <rPh sb="0" eb="2">
      <t>トネ</t>
    </rPh>
    <rPh sb="2" eb="3">
      <t>ジツ</t>
    </rPh>
    <phoneticPr fontId="2"/>
  </si>
  <si>
    <t>利　商</t>
    <rPh sb="0" eb="1">
      <t>リ</t>
    </rPh>
    <rPh sb="2" eb="3">
      <t>ショウ</t>
    </rPh>
    <phoneticPr fontId="2"/>
  </si>
  <si>
    <t>高　崎</t>
    <rPh sb="0" eb="1">
      <t>タカ</t>
    </rPh>
    <rPh sb="2" eb="3">
      <t>サキ</t>
    </rPh>
    <phoneticPr fontId="2"/>
  </si>
  <si>
    <t>高　女</t>
    <rPh sb="0" eb="1">
      <t>タカ</t>
    </rPh>
    <rPh sb="2" eb="3">
      <t>オンナ</t>
    </rPh>
    <phoneticPr fontId="2"/>
  </si>
  <si>
    <t>高経附</t>
    <rPh sb="0" eb="1">
      <t>タカ</t>
    </rPh>
    <rPh sb="1" eb="2">
      <t>ケイ</t>
    </rPh>
    <rPh sb="2" eb="3">
      <t>フ</t>
    </rPh>
    <phoneticPr fontId="2"/>
  </si>
  <si>
    <t>農　二</t>
    <rPh sb="0" eb="1">
      <t>ノウ</t>
    </rPh>
    <rPh sb="2" eb="3">
      <t>ニ</t>
    </rPh>
    <phoneticPr fontId="2"/>
  </si>
  <si>
    <t>北毛</t>
    <rPh sb="0" eb="2">
      <t>ホクモウ</t>
    </rPh>
    <phoneticPr fontId="2"/>
  </si>
  <si>
    <t>健大高</t>
    <rPh sb="0" eb="1">
      <t>ケン</t>
    </rPh>
    <rPh sb="1" eb="2">
      <t>ダイ</t>
    </rPh>
    <rPh sb="2" eb="3">
      <t>コウ</t>
    </rPh>
    <phoneticPr fontId="2"/>
  </si>
  <si>
    <t>高　北</t>
    <rPh sb="0" eb="1">
      <t>タカ</t>
    </rPh>
    <rPh sb="2" eb="3">
      <t>キタ</t>
    </rPh>
    <phoneticPr fontId="2"/>
  </si>
  <si>
    <t>榛　名</t>
    <rPh sb="0" eb="1">
      <t>ハシバミ</t>
    </rPh>
    <rPh sb="2" eb="3">
      <t>メイ</t>
    </rPh>
    <phoneticPr fontId="2"/>
  </si>
  <si>
    <t>県　央</t>
    <rPh sb="0" eb="1">
      <t>ケン</t>
    </rPh>
    <rPh sb="2" eb="3">
      <t>オウ</t>
    </rPh>
    <phoneticPr fontId="2"/>
  </si>
  <si>
    <t>富　岡</t>
    <rPh sb="0" eb="1">
      <t>トミ</t>
    </rPh>
    <rPh sb="2" eb="3">
      <t>オカ</t>
    </rPh>
    <phoneticPr fontId="2"/>
  </si>
  <si>
    <t>藤　工</t>
    <rPh sb="0" eb="1">
      <t>フジ</t>
    </rPh>
    <rPh sb="2" eb="3">
      <t>コウ</t>
    </rPh>
    <phoneticPr fontId="2"/>
  </si>
  <si>
    <t>吉　井</t>
    <rPh sb="0" eb="1">
      <t>ヨシ</t>
    </rPh>
    <rPh sb="2" eb="3">
      <t>イ</t>
    </rPh>
    <phoneticPr fontId="2"/>
  </si>
  <si>
    <t>藤　北</t>
    <rPh sb="0" eb="1">
      <t>フジ</t>
    </rPh>
    <rPh sb="2" eb="3">
      <t>キタ</t>
    </rPh>
    <phoneticPr fontId="2"/>
  </si>
  <si>
    <t>藤中央</t>
    <rPh sb="0" eb="1">
      <t>フジ</t>
    </rPh>
    <rPh sb="1" eb="3">
      <t>チュウオウ</t>
    </rPh>
    <phoneticPr fontId="2"/>
  </si>
  <si>
    <t>西毛</t>
    <rPh sb="0" eb="1">
      <t>ニシ</t>
    </rPh>
    <rPh sb="1" eb="2">
      <t>モウ</t>
    </rPh>
    <phoneticPr fontId="2"/>
  </si>
  <si>
    <t>総体予選　女子</t>
    <rPh sb="0" eb="2">
      <t>ソウタイ</t>
    </rPh>
    <rPh sb="2" eb="4">
      <t>ヨセン</t>
    </rPh>
    <rPh sb="5" eb="7">
      <t>ジョシ</t>
    </rPh>
    <phoneticPr fontId="2"/>
  </si>
  <si>
    <t>総体予選　男子</t>
    <rPh sb="0" eb="2">
      <t>ソウタイ</t>
    </rPh>
    <rPh sb="2" eb="4">
      <t>ヨセン</t>
    </rPh>
    <rPh sb="5" eb="7">
      <t>ダンシ</t>
    </rPh>
    <phoneticPr fontId="2"/>
  </si>
  <si>
    <t>新人戦　男子</t>
    <rPh sb="0" eb="3">
      <t>シンジンセン</t>
    </rPh>
    <rPh sb="4" eb="6">
      <t>ダンシ</t>
    </rPh>
    <phoneticPr fontId="2"/>
  </si>
  <si>
    <t>新人戦　女子</t>
    <rPh sb="0" eb="3">
      <t>シンジンセン</t>
    </rPh>
    <rPh sb="4" eb="6">
      <t>ジョシ</t>
    </rPh>
    <phoneticPr fontId="2"/>
  </si>
  <si>
    <t>東日本予選　男子</t>
    <rPh sb="0" eb="3">
      <t>ヒガシニホン</t>
    </rPh>
    <rPh sb="3" eb="5">
      <t>ヨセン</t>
    </rPh>
    <rPh sb="6" eb="8">
      <t>ダンシ</t>
    </rPh>
    <phoneticPr fontId="2"/>
  </si>
  <si>
    <t>東日本予選　女子</t>
    <rPh sb="0" eb="3">
      <t>ヒガシニホン</t>
    </rPh>
    <rPh sb="3" eb="5">
      <t>ヨセン</t>
    </rPh>
    <rPh sb="6" eb="8">
      <t>ジョシ</t>
    </rPh>
    <phoneticPr fontId="2"/>
  </si>
  <si>
    <t>住所</t>
  </si>
  <si>
    <t>電話番号</t>
  </si>
  <si>
    <t>　本校の教育目標に基づき、貴連盟の標記研修会に下記により参加いたします。</t>
  </si>
  <si>
    <t>記</t>
  </si>
  <si>
    <t>区分</t>
  </si>
  <si>
    <t>参加生徒氏名</t>
  </si>
  <si>
    <t>学年</t>
  </si>
  <si>
    <t>備考</t>
  </si>
  <si>
    <t>高等学校</t>
    <phoneticPr fontId="2"/>
  </si>
  <si>
    <t>校　長</t>
    <rPh sb="0" eb="1">
      <t>コウ</t>
    </rPh>
    <rPh sb="2" eb="3">
      <t>チョウ</t>
    </rPh>
    <phoneticPr fontId="2"/>
  </si>
  <si>
    <t>引率指導者（職・氏名）</t>
    <phoneticPr fontId="2"/>
  </si>
  <si>
    <t>春季･地区</t>
    <rPh sb="0" eb="2">
      <t>シュンキ</t>
    </rPh>
    <rPh sb="3" eb="5">
      <t>チク</t>
    </rPh>
    <phoneticPr fontId="2"/>
  </si>
  <si>
    <t>遠的･東日本</t>
    <rPh sb="0" eb="1">
      <t>エン</t>
    </rPh>
    <rPh sb="1" eb="2">
      <t>テキ</t>
    </rPh>
    <rPh sb="3" eb="6">
      <t>ヒガシニホン</t>
    </rPh>
    <phoneticPr fontId="2"/>
  </si>
  <si>
    <t>生徒自宅住所</t>
    <rPh sb="0" eb="2">
      <t>セイト</t>
    </rPh>
    <rPh sb="2" eb="4">
      <t>ジタク</t>
    </rPh>
    <rPh sb="4" eb="6">
      <t>ジュウショ</t>
    </rPh>
    <phoneticPr fontId="2"/>
  </si>
  <si>
    <t>生徒自宅℡</t>
    <rPh sb="0" eb="2">
      <t>セイト</t>
    </rPh>
    <rPh sb="2" eb="4">
      <t>ジタク</t>
    </rPh>
    <phoneticPr fontId="2"/>
  </si>
  <si>
    <t>男→1 女→2</t>
    <rPh sb="0" eb="1">
      <t>オトコ</t>
    </rPh>
    <rPh sb="4" eb="5">
      <t>オンナ</t>
    </rPh>
    <phoneticPr fontId="2"/>
  </si>
  <si>
    <t>西暦下2桁↓</t>
    <rPh sb="0" eb="2">
      <t>セイレキ</t>
    </rPh>
    <rPh sb="2" eb="3">
      <t>シモ</t>
    </rPh>
    <rPh sb="4" eb="5">
      <t>ケタ</t>
    </rPh>
    <phoneticPr fontId="2"/>
  </si>
  <si>
    <t>全弓連ＩＤ</t>
    <rPh sb="0" eb="1">
      <t>ゼン</t>
    </rPh>
    <rPh sb="1" eb="2">
      <t>ユミ</t>
    </rPh>
    <rPh sb="2" eb="3">
      <t>レン</t>
    </rPh>
    <phoneticPr fontId="2"/>
  </si>
  <si>
    <t>生年月日</t>
    <rPh sb="0" eb="2">
      <t>セイネン</t>
    </rPh>
    <rPh sb="2" eb="4">
      <t>ガッピ</t>
    </rPh>
    <phoneticPr fontId="2"/>
  </si>
  <si>
    <t>ﾘｰ研申込で使用</t>
    <rPh sb="2" eb="3">
      <t>ケン</t>
    </rPh>
    <rPh sb="3" eb="5">
      <t>モウシコミ</t>
    </rPh>
    <rPh sb="6" eb="8">
      <t>シヨウ</t>
    </rPh>
    <phoneticPr fontId="2"/>
  </si>
  <si>
    <t>全国高体連弓道専門部登録で使用</t>
    <rPh sb="0" eb="2">
      <t>ゼンコク</t>
    </rPh>
    <rPh sb="2" eb="5">
      <t>コウタイレン</t>
    </rPh>
    <rPh sb="5" eb="7">
      <t>キュウドウ</t>
    </rPh>
    <rPh sb="7" eb="10">
      <t>センモンブ</t>
    </rPh>
    <rPh sb="10" eb="12">
      <t>トウロク</t>
    </rPh>
    <rPh sb="13" eb="15">
      <t>シヨウ</t>
    </rPh>
    <phoneticPr fontId="2"/>
  </si>
  <si>
    <t>←※学校番号を最初に入力しないとすべて表示されません。</t>
    <rPh sb="2" eb="4">
      <t>ガッコウ</t>
    </rPh>
    <rPh sb="4" eb="6">
      <t>バンゴウ</t>
    </rPh>
    <rPh sb="7" eb="9">
      <t>サイショ</t>
    </rPh>
    <rPh sb="10" eb="12">
      <t>ニュウリョク</t>
    </rPh>
    <rPh sb="19" eb="21">
      <t>ヒョウジ</t>
    </rPh>
    <phoneticPr fontId="2"/>
  </si>
  <si>
    <t>春季大会　男子</t>
    <rPh sb="0" eb="2">
      <t>シュンキ</t>
    </rPh>
    <rPh sb="2" eb="4">
      <t>タイカイ</t>
    </rPh>
    <rPh sb="5" eb="7">
      <t>ダンシ</t>
    </rPh>
    <phoneticPr fontId="2"/>
  </si>
  <si>
    <t>春季大会　女子</t>
    <rPh sb="0" eb="2">
      <t>シュンキ</t>
    </rPh>
    <rPh sb="2" eb="4">
      <t>タイカイ</t>
    </rPh>
    <rPh sb="5" eb="7">
      <t>ジョシ</t>
    </rPh>
    <phoneticPr fontId="2"/>
  </si>
  <si>
    <t>名字かな</t>
    <rPh sb="0" eb="2">
      <t>ミョウジ</t>
    </rPh>
    <phoneticPr fontId="2"/>
  </si>
  <si>
    <t>名前かな</t>
    <rPh sb="0" eb="2">
      <t>ナマエ</t>
    </rPh>
    <phoneticPr fontId="2"/>
  </si>
  <si>
    <t>高体連弓道専門部第</t>
    <rPh sb="0" eb="3">
      <t>コウタイレン</t>
    </rPh>
    <rPh sb="3" eb="5">
      <t>キュウドウ</t>
    </rPh>
    <rPh sb="5" eb="8">
      <t>センモンブ</t>
    </rPh>
    <rPh sb="8" eb="9">
      <t>ダイ</t>
    </rPh>
    <phoneticPr fontId="2"/>
  </si>
  <si>
    <t>号　　　　　　　　　　　実施日</t>
    <rPh sb="0" eb="1">
      <t>ゴウ</t>
    </rPh>
    <rPh sb="12" eb="15">
      <t>ジッシビ</t>
    </rPh>
    <phoneticPr fontId="2"/>
  </si>
  <si>
    <t>遠的大会　男子</t>
    <rPh sb="0" eb="1">
      <t>エン</t>
    </rPh>
    <rPh sb="1" eb="2">
      <t>テキ</t>
    </rPh>
    <rPh sb="2" eb="4">
      <t>タイカイ</t>
    </rPh>
    <rPh sb="5" eb="7">
      <t>ダンシ</t>
    </rPh>
    <phoneticPr fontId="2"/>
  </si>
  <si>
    <t>遠的大会　女子</t>
    <rPh sb="0" eb="1">
      <t>エン</t>
    </rPh>
    <rPh sb="1" eb="2">
      <t>テキ</t>
    </rPh>
    <rPh sb="2" eb="4">
      <t>タイカイ</t>
    </rPh>
    <rPh sb="5" eb="7">
      <t>ジョシ</t>
    </rPh>
    <phoneticPr fontId="2"/>
  </si>
  <si>
    <t>前　商</t>
  </si>
  <si>
    <t>樹　徳</t>
  </si>
  <si>
    <t>高経附</t>
  </si>
  <si>
    <t>興　陽</t>
  </si>
  <si>
    <t>関　学</t>
  </si>
  <si>
    <t>高　崎</t>
  </si>
  <si>
    <t>吉　井</t>
  </si>
  <si>
    <t>清　明</t>
  </si>
  <si>
    <t>県　央</t>
  </si>
  <si>
    <t>伊勢崎</t>
  </si>
  <si>
    <t>前　東</t>
  </si>
  <si>
    <t>大間々</t>
  </si>
  <si>
    <t>玉　村</t>
  </si>
  <si>
    <t>市前橋</t>
  </si>
  <si>
    <t>桐　商</t>
  </si>
  <si>
    <t>太　田</t>
  </si>
  <si>
    <t>藤　工</t>
  </si>
  <si>
    <t>前　南</t>
  </si>
  <si>
    <t>育　英</t>
  </si>
  <si>
    <t>桐　生</t>
  </si>
  <si>
    <t>前　橋</t>
  </si>
  <si>
    <t>富　岡</t>
  </si>
  <si>
    <t>前　工</t>
  </si>
  <si>
    <t>利　商</t>
  </si>
  <si>
    <t>高　北</t>
  </si>
  <si>
    <t>渋　工</t>
  </si>
  <si>
    <t>前　西</t>
  </si>
  <si>
    <t>藤中央</t>
  </si>
  <si>
    <t>新田暁</t>
  </si>
  <si>
    <t>青　翠</t>
  </si>
  <si>
    <t>勢　農</t>
  </si>
  <si>
    <t>四ツ葉</t>
  </si>
  <si>
    <t>健大高</t>
  </si>
  <si>
    <t>大　泉</t>
  </si>
  <si>
    <t>榛　名</t>
  </si>
  <si>
    <t>伊　工</t>
  </si>
  <si>
    <t>共　愛</t>
  </si>
  <si>
    <t>利根実</t>
  </si>
  <si>
    <t>館商工</t>
  </si>
  <si>
    <t>藤　北</t>
  </si>
  <si>
    <t>農　二</t>
  </si>
  <si>
    <t>尾　瀬</t>
  </si>
  <si>
    <t>市太田</t>
    <rPh sb="0" eb="1">
      <t>イチ</t>
    </rPh>
    <rPh sb="1" eb="3">
      <t>オオタ</t>
    </rPh>
    <phoneticPr fontId="2"/>
  </si>
  <si>
    <t>国体選考希望</t>
    <rPh sb="0" eb="2">
      <t>コクタイ</t>
    </rPh>
    <rPh sb="2" eb="4">
      <t>センコウ</t>
    </rPh>
    <rPh sb="4" eb="6">
      <t>キボウ</t>
    </rPh>
    <phoneticPr fontId="2"/>
  </si>
  <si>
    <t>市太田</t>
  </si>
  <si>
    <t>安総合</t>
    <rPh sb="0" eb="1">
      <t>アン</t>
    </rPh>
    <rPh sb="1" eb="3">
      <t>ソウゴウ</t>
    </rPh>
    <phoneticPr fontId="2"/>
  </si>
  <si>
    <t>安総合</t>
  </si>
  <si>
    <t>印</t>
    <phoneticPr fontId="2"/>
  </si>
  <si>
    <t>学校名</t>
    <rPh sb="0" eb="3">
      <t>ガッコウメイ</t>
    </rPh>
    <phoneticPr fontId="2"/>
  </si>
  <si>
    <t>高等学校</t>
    <rPh sb="0" eb="2">
      <t>コウトウ</t>
    </rPh>
    <rPh sb="2" eb="4">
      <t>ガッコウ</t>
    </rPh>
    <phoneticPr fontId="2"/>
  </si>
  <si>
    <t>校長名</t>
    <rPh sb="0" eb="3">
      <t>コウチョウメイ</t>
    </rPh>
    <phoneticPr fontId="2"/>
  </si>
  <si>
    <t>回数</t>
    <rPh sb="0" eb="2">
      <t>カイスウ</t>
    </rPh>
    <phoneticPr fontId="2"/>
  </si>
  <si>
    <t>引率者名</t>
    <rPh sb="0" eb="3">
      <t>インソツシャ</t>
    </rPh>
    <rPh sb="3" eb="4">
      <t>メイ</t>
    </rPh>
    <phoneticPr fontId="2"/>
  </si>
  <si>
    <t>文書番号</t>
    <rPh sb="0" eb="2">
      <t>ブンショ</t>
    </rPh>
    <rPh sb="2" eb="4">
      <t>バンゴウ</t>
    </rPh>
    <phoneticPr fontId="2"/>
  </si>
  <si>
    <t>実施日</t>
    <rPh sb="0" eb="3">
      <t>ジッシビ</t>
    </rPh>
    <phoneticPr fontId="2"/>
  </si>
  <si>
    <t>№</t>
    <phoneticPr fontId="2"/>
  </si>
  <si>
    <t>弁当注文個数</t>
    <rPh sb="0" eb="2">
      <t>ベントウ</t>
    </rPh>
    <rPh sb="2" eb="4">
      <t>チュウモン</t>
    </rPh>
    <rPh sb="4" eb="6">
      <t>コスウ</t>
    </rPh>
    <phoneticPr fontId="2"/>
  </si>
  <si>
    <t>参加者名簿作成用　参加申込ファイル</t>
    <phoneticPr fontId="2"/>
  </si>
  <si>
    <t>近県大会</t>
    <rPh sb="0" eb="2">
      <t>キンケン</t>
    </rPh>
    <rPh sb="2" eb="4">
      <t>タイカイ</t>
    </rPh>
    <phoneticPr fontId="2"/>
  </si>
  <si>
    <t>ＧＫＡ</t>
  </si>
  <si>
    <t>ＧＫＡ</t>
    <phoneticPr fontId="2"/>
  </si>
  <si>
    <t>4年</t>
    <rPh sb="0" eb="2">
      <t>サンネン</t>
    </rPh>
    <phoneticPr fontId="2"/>
  </si>
  <si>
    <t>　→新１年の男子のスタートを1にして順番に入力（各学年の男は1からスタート）</t>
    <rPh sb="2" eb="3">
      <t>シン</t>
    </rPh>
    <rPh sb="3" eb="5">
      <t>イチネン</t>
    </rPh>
    <rPh sb="6" eb="8">
      <t>ダンシ</t>
    </rPh>
    <rPh sb="18" eb="20">
      <t>ジュンバン</t>
    </rPh>
    <rPh sb="21" eb="23">
      <t>ニュウリョク</t>
    </rPh>
    <phoneticPr fontId="2"/>
  </si>
  <si>
    <t>　→新１年の女子のスタートを1にして順番に入力（各学年の女は1からスタート）</t>
    <rPh sb="2" eb="3">
      <t>シン</t>
    </rPh>
    <rPh sb="3" eb="5">
      <t>イチネン</t>
    </rPh>
    <rPh sb="6" eb="8">
      <t>ジョシ</t>
    </rPh>
    <rPh sb="18" eb="20">
      <t>ジュンバン</t>
    </rPh>
    <rPh sb="21" eb="23">
      <t>ニュウリョク</t>
    </rPh>
    <rPh sb="28" eb="29">
      <t>オンナ</t>
    </rPh>
    <phoneticPr fontId="2"/>
  </si>
  <si>
    <t>「性別」は男子は「1」・女子は「2」を入力-【半角】</t>
    <rPh sb="1" eb="3">
      <t>セイベツ</t>
    </rPh>
    <rPh sb="5" eb="7">
      <t>ダンシ</t>
    </rPh>
    <rPh sb="12" eb="14">
      <t>ジョシ</t>
    </rPh>
    <rPh sb="19" eb="21">
      <t>ニュウリョク</t>
    </rPh>
    <phoneticPr fontId="2"/>
  </si>
  <si>
    <t>「部員番号」は使用できる数字は1～99まで-【半角】</t>
    <rPh sb="1" eb="3">
      <t>ブイン</t>
    </rPh>
    <rPh sb="3" eb="5">
      <t>バンゴウ</t>
    </rPh>
    <rPh sb="7" eb="9">
      <t>シヨウ</t>
    </rPh>
    <rPh sb="12" eb="14">
      <t>スウジ</t>
    </rPh>
    <phoneticPr fontId="2"/>
  </si>
  <si>
    <t>　→順番は特に決まりはありません（クラス順・生年月日順・名前順・なんでも可）</t>
    <rPh sb="2" eb="4">
      <t>ジュンバン</t>
    </rPh>
    <rPh sb="5" eb="6">
      <t>トク</t>
    </rPh>
    <rPh sb="7" eb="8">
      <t>キ</t>
    </rPh>
    <rPh sb="20" eb="21">
      <t>ジュン</t>
    </rPh>
    <rPh sb="22" eb="24">
      <t>セイネン</t>
    </rPh>
    <rPh sb="24" eb="26">
      <t>ガッピ</t>
    </rPh>
    <rPh sb="26" eb="27">
      <t>ジュン</t>
    </rPh>
    <rPh sb="28" eb="31">
      <t>ナマエジュン</t>
    </rPh>
    <rPh sb="36" eb="37">
      <t>カ</t>
    </rPh>
    <phoneticPr fontId="2"/>
  </si>
  <si>
    <t>「名字」は全角漢字入力-【全角】</t>
    <rPh sb="1" eb="3">
      <t>ミョウジ</t>
    </rPh>
    <rPh sb="5" eb="7">
      <t>ゼンカク</t>
    </rPh>
    <rPh sb="7" eb="9">
      <t>カンジ</t>
    </rPh>
    <rPh sb="9" eb="11">
      <t>ニュウリョク</t>
    </rPh>
    <rPh sb="13" eb="15">
      <t>ゼンカク</t>
    </rPh>
    <phoneticPr fontId="2"/>
  </si>
  <si>
    <t>「名前」は全角漢字入力-【全角】</t>
    <rPh sb="1" eb="3">
      <t>ナマエ</t>
    </rPh>
    <rPh sb="5" eb="7">
      <t>ゼンカク</t>
    </rPh>
    <rPh sb="7" eb="9">
      <t>カンジ</t>
    </rPh>
    <rPh sb="9" eb="11">
      <t>ニュウリョク</t>
    </rPh>
    <phoneticPr fontId="2"/>
  </si>
  <si>
    <t>「登録番号」は③～⑧まで入力すると表示される</t>
    <rPh sb="1" eb="3">
      <t>トウロク</t>
    </rPh>
    <rPh sb="3" eb="5">
      <t>バンゴウ</t>
    </rPh>
    <rPh sb="12" eb="14">
      <t>ニュウリョク</t>
    </rPh>
    <rPh sb="17" eb="19">
      <t>ヒョウジ</t>
    </rPh>
    <phoneticPr fontId="2"/>
  </si>
  <si>
    <t>「登録番号重複の有無」で「重複有り部員番号訂正」と表示されたら部員番号を重複しないよう訂正する</t>
    <rPh sb="25" eb="27">
      <t>ヒョウジ</t>
    </rPh>
    <rPh sb="31" eb="33">
      <t>ブイン</t>
    </rPh>
    <rPh sb="33" eb="35">
      <t>バンゴウ</t>
    </rPh>
    <rPh sb="36" eb="38">
      <t>ジュウフク</t>
    </rPh>
    <rPh sb="43" eb="45">
      <t>テイセイ</t>
    </rPh>
    <phoneticPr fontId="2"/>
  </si>
  <si>
    <t>「生徒自宅住所」はリーダー養成研修会の申込用紙で使用-【全角】</t>
    <rPh sb="1" eb="3">
      <t>セイト</t>
    </rPh>
    <rPh sb="3" eb="5">
      <t>ジタク</t>
    </rPh>
    <rPh sb="5" eb="7">
      <t>ジュウショ</t>
    </rPh>
    <rPh sb="13" eb="15">
      <t>ヨウセイ</t>
    </rPh>
    <rPh sb="15" eb="18">
      <t>ケンシュウカイ</t>
    </rPh>
    <rPh sb="19" eb="21">
      <t>モウシコミ</t>
    </rPh>
    <rPh sb="21" eb="23">
      <t>ヨウシ</t>
    </rPh>
    <rPh sb="24" eb="26">
      <t>シヨウ</t>
    </rPh>
    <phoneticPr fontId="2"/>
  </si>
  <si>
    <t>「生徒自宅℡｣はリーダー養成研修会の申込用紙で使用-【半角】</t>
    <rPh sb="1" eb="3">
      <t>セイト</t>
    </rPh>
    <rPh sb="3" eb="5">
      <t>ジタク</t>
    </rPh>
    <rPh sb="12" eb="14">
      <t>ヨウセイ</t>
    </rPh>
    <rPh sb="14" eb="17">
      <t>ケンシュウカイ</t>
    </rPh>
    <rPh sb="18" eb="20">
      <t>モウシコミ</t>
    </rPh>
    <rPh sb="20" eb="22">
      <t>ヨウシ</t>
    </rPh>
    <rPh sb="23" eb="25">
      <t>シヨウ</t>
    </rPh>
    <phoneticPr fontId="2"/>
  </si>
  <si>
    <t>「名字かな」は全国高体連弓道専門部登録で必要なので必ず入力-【全角】</t>
    <rPh sb="7" eb="9">
      <t>ゼンコク</t>
    </rPh>
    <rPh sb="9" eb="12">
      <t>コウタイレン</t>
    </rPh>
    <rPh sb="12" eb="14">
      <t>キュウドウ</t>
    </rPh>
    <rPh sb="14" eb="17">
      <t>センモンブ</t>
    </rPh>
    <rPh sb="17" eb="19">
      <t>トウロク</t>
    </rPh>
    <rPh sb="20" eb="22">
      <t>ヒツヨウ</t>
    </rPh>
    <rPh sb="25" eb="26">
      <t>カナラ</t>
    </rPh>
    <rPh sb="27" eb="29">
      <t>ニュウリョク</t>
    </rPh>
    <phoneticPr fontId="2"/>
  </si>
  <si>
    <t>「名前かな」は全国高体連弓道専門部登録で必要なので必ず入力-【全角】</t>
    <rPh sb="7" eb="9">
      <t>ゼンコク</t>
    </rPh>
    <rPh sb="9" eb="12">
      <t>コウタイレン</t>
    </rPh>
    <rPh sb="12" eb="14">
      <t>キュウドウ</t>
    </rPh>
    <rPh sb="14" eb="17">
      <t>センモンブ</t>
    </rPh>
    <rPh sb="17" eb="19">
      <t>トウロク</t>
    </rPh>
    <rPh sb="20" eb="22">
      <t>ヒツヨウ</t>
    </rPh>
    <rPh sb="25" eb="26">
      <t>カナラ</t>
    </rPh>
    <rPh sb="27" eb="29">
      <t>ニュウリョク</t>
    </rPh>
    <phoneticPr fontId="2"/>
  </si>
  <si>
    <t>「生年月日」は全国高体連弓道専門部登録で必要なので必ず入力-【半角】</t>
    <rPh sb="7" eb="9">
      <t>ゼンコク</t>
    </rPh>
    <rPh sb="9" eb="12">
      <t>コウタイレン</t>
    </rPh>
    <rPh sb="12" eb="14">
      <t>キュウドウ</t>
    </rPh>
    <rPh sb="14" eb="17">
      <t>センモンブ</t>
    </rPh>
    <rPh sb="17" eb="19">
      <t>トウロク</t>
    </rPh>
    <rPh sb="20" eb="22">
      <t>ヒツヨウ</t>
    </rPh>
    <rPh sb="25" eb="26">
      <t>カナラ</t>
    </rPh>
    <rPh sb="27" eb="29">
      <t>ニュウリョク</t>
    </rPh>
    <rPh sb="31" eb="32">
      <t>ハン</t>
    </rPh>
    <phoneticPr fontId="2"/>
  </si>
  <si>
    <t>全弓連ＩＤを所定の手続きを経て取得でき次第入力する</t>
    <rPh sb="0" eb="1">
      <t>ゼン</t>
    </rPh>
    <rPh sb="1" eb="2">
      <t>キュウ</t>
    </rPh>
    <rPh sb="2" eb="3">
      <t>レン</t>
    </rPh>
    <rPh sb="6" eb="8">
      <t>ショテイ</t>
    </rPh>
    <rPh sb="9" eb="11">
      <t>テツヅ</t>
    </rPh>
    <rPh sb="13" eb="14">
      <t>ヘ</t>
    </rPh>
    <rPh sb="15" eb="17">
      <t>シュトク</t>
    </rPh>
    <rPh sb="19" eb="21">
      <t>シダイ</t>
    </rPh>
    <rPh sb="21" eb="23">
      <t>ニュウリョク</t>
    </rPh>
    <phoneticPr fontId="2"/>
  </si>
  <si>
    <t>大会当日弁当を注文する場合は弁当注文個数を入力する</t>
    <rPh sb="0" eb="2">
      <t>タイカイ</t>
    </rPh>
    <rPh sb="2" eb="4">
      <t>トウジツ</t>
    </rPh>
    <rPh sb="4" eb="6">
      <t>ベントウ</t>
    </rPh>
    <rPh sb="7" eb="9">
      <t>チュウモン</t>
    </rPh>
    <rPh sb="11" eb="13">
      <t>バアイ</t>
    </rPh>
    <rPh sb="14" eb="16">
      <t>ベントウ</t>
    </rPh>
    <rPh sb="16" eb="18">
      <t>チュウモン</t>
    </rPh>
    <rPh sb="18" eb="20">
      <t>コスウ</t>
    </rPh>
    <rPh sb="21" eb="23">
      <t>ニュウリョク</t>
    </rPh>
    <phoneticPr fontId="2"/>
  </si>
  <si>
    <t>　→この時までに送付した選手でないと全国選抜出場権を獲得しても全国選抜に出場できない</t>
    <rPh sb="4" eb="5">
      <t>トキ</t>
    </rPh>
    <rPh sb="8" eb="10">
      <t>ソウフ</t>
    </rPh>
    <rPh sb="12" eb="14">
      <t>センシュ</t>
    </rPh>
    <rPh sb="18" eb="20">
      <t>ゼンコク</t>
    </rPh>
    <rPh sb="20" eb="22">
      <t>センバツ</t>
    </rPh>
    <rPh sb="22" eb="24">
      <t>シュツジョウ</t>
    </rPh>
    <rPh sb="24" eb="25">
      <t>ケン</t>
    </rPh>
    <rPh sb="26" eb="28">
      <t>カクトク</t>
    </rPh>
    <rPh sb="31" eb="33">
      <t>ゼンコク</t>
    </rPh>
    <rPh sb="33" eb="35">
      <t>センバツ</t>
    </rPh>
    <rPh sb="36" eb="38">
      <t>シュツジョウ</t>
    </rPh>
    <phoneticPr fontId="2"/>
  </si>
  <si>
    <t>　→この時までに送付した選手でないとインターハイ出場権を獲得してもインターハイに出場できない</t>
    <rPh sb="4" eb="5">
      <t>トキ</t>
    </rPh>
    <rPh sb="8" eb="10">
      <t>ソウフ</t>
    </rPh>
    <rPh sb="12" eb="14">
      <t>センシュ</t>
    </rPh>
    <rPh sb="24" eb="26">
      <t>シュツジョウ</t>
    </rPh>
    <rPh sb="26" eb="27">
      <t>ケン</t>
    </rPh>
    <rPh sb="28" eb="30">
      <t>カクトク</t>
    </rPh>
    <rPh sb="40" eb="42">
      <t>シュツジョウ</t>
    </rPh>
    <phoneticPr fontId="2"/>
  </si>
  <si>
    <t>　→この時のデータで群馬県高体連に人数登録するので県総体に出場しない生徒も入力する</t>
    <rPh sb="4" eb="5">
      <t>トキ</t>
    </rPh>
    <rPh sb="10" eb="13">
      <t>グンマケン</t>
    </rPh>
    <rPh sb="13" eb="16">
      <t>コウタイレン</t>
    </rPh>
    <rPh sb="17" eb="19">
      <t>ニンズウ</t>
    </rPh>
    <rPh sb="19" eb="21">
      <t>トウロク</t>
    </rPh>
    <rPh sb="25" eb="26">
      <t>ケン</t>
    </rPh>
    <rPh sb="26" eb="28">
      <t>ソウタイ</t>
    </rPh>
    <rPh sb="29" eb="31">
      <t>シュツジョウ</t>
    </rPh>
    <rPh sb="34" eb="36">
      <t>セイト</t>
    </rPh>
    <rPh sb="37" eb="39">
      <t>ニュウリョク</t>
    </rPh>
    <phoneticPr fontId="2"/>
  </si>
  <si>
    <t>　→この時のデータで全国高体連弓道専門部登録１回目をするので春季大会に出場しない生徒も入力する</t>
    <rPh sb="4" eb="5">
      <t>トキ</t>
    </rPh>
    <rPh sb="10" eb="12">
      <t>ゼンコク</t>
    </rPh>
    <rPh sb="12" eb="13">
      <t>ダカ</t>
    </rPh>
    <rPh sb="13" eb="14">
      <t>カラダ</t>
    </rPh>
    <rPh sb="14" eb="15">
      <t>レン</t>
    </rPh>
    <rPh sb="15" eb="17">
      <t>キュウドウ</t>
    </rPh>
    <rPh sb="17" eb="19">
      <t>センモン</t>
    </rPh>
    <rPh sb="19" eb="20">
      <t>ブ</t>
    </rPh>
    <rPh sb="20" eb="22">
      <t>トウロク</t>
    </rPh>
    <rPh sb="23" eb="25">
      <t>カイメ</t>
    </rPh>
    <rPh sb="30" eb="32">
      <t>シュンキ</t>
    </rPh>
    <rPh sb="32" eb="34">
      <t>タイカイ</t>
    </rPh>
    <rPh sb="35" eb="37">
      <t>シュツジョウ</t>
    </rPh>
    <rPh sb="40" eb="42">
      <t>セイト</t>
    </rPh>
    <rPh sb="43" eb="45">
      <t>ニュウリョク</t>
    </rPh>
    <phoneticPr fontId="2"/>
  </si>
  <si>
    <t>　→この時のデータで全国高体連弓道専門部登録３回目をするので新人大会に出場しない生徒も入力する</t>
    <rPh sb="4" eb="5">
      <t>トキ</t>
    </rPh>
    <rPh sb="10" eb="12">
      <t>ゼンコク</t>
    </rPh>
    <rPh sb="12" eb="13">
      <t>ダカ</t>
    </rPh>
    <rPh sb="13" eb="14">
      <t>カラダ</t>
    </rPh>
    <rPh sb="14" eb="15">
      <t>レン</t>
    </rPh>
    <rPh sb="15" eb="17">
      <t>キュウドウ</t>
    </rPh>
    <rPh sb="17" eb="19">
      <t>センモン</t>
    </rPh>
    <rPh sb="19" eb="20">
      <t>ブ</t>
    </rPh>
    <rPh sb="20" eb="22">
      <t>トウロク</t>
    </rPh>
    <rPh sb="23" eb="25">
      <t>カイメ</t>
    </rPh>
    <rPh sb="30" eb="32">
      <t>シンジン</t>
    </rPh>
    <rPh sb="32" eb="34">
      <t>タイカイ</t>
    </rPh>
    <rPh sb="35" eb="37">
      <t>シュツジョウ</t>
    </rPh>
    <rPh sb="40" eb="42">
      <t>セイト</t>
    </rPh>
    <rPh sb="43" eb="45">
      <t>ニュウリョク</t>
    </rPh>
    <phoneticPr fontId="2"/>
  </si>
  <si>
    <t>（　男　子　）</t>
    <rPh sb="2" eb="3">
      <t>オトコ</t>
    </rPh>
    <rPh sb="4" eb="5">
      <t>コ</t>
    </rPh>
    <phoneticPr fontId="2"/>
  </si>
  <si>
    <t>＊申し込み締め切りは要項を確認してください。</t>
    <rPh sb="1" eb="2">
      <t>モウ</t>
    </rPh>
    <rPh sb="3" eb="4">
      <t>コ</t>
    </rPh>
    <rPh sb="5" eb="6">
      <t>シ</t>
    </rPh>
    <rPh sb="7" eb="8">
      <t>キ</t>
    </rPh>
    <rPh sb="10" eb="12">
      <t>ヨウコウ</t>
    </rPh>
    <rPh sb="13" eb="15">
      <t>カクニン</t>
    </rPh>
    <phoneticPr fontId="2"/>
  </si>
  <si>
    <t>＊団体選手は個人競技の対象となります。立順１～３が正選手、４が補員です。</t>
    <rPh sb="1" eb="3">
      <t>ダンタイ</t>
    </rPh>
    <rPh sb="3" eb="5">
      <t>センシュ</t>
    </rPh>
    <rPh sb="6" eb="8">
      <t>コジン</t>
    </rPh>
    <rPh sb="8" eb="10">
      <t>キョウギ</t>
    </rPh>
    <rPh sb="11" eb="13">
      <t>タイショウ</t>
    </rPh>
    <rPh sb="19" eb="20">
      <t>タ</t>
    </rPh>
    <rPh sb="20" eb="21">
      <t>ジュン</t>
    </rPh>
    <rPh sb="25" eb="28">
      <t>セイセンシュ</t>
    </rPh>
    <rPh sb="31" eb="33">
      <t>ホイン</t>
    </rPh>
    <phoneticPr fontId="2"/>
  </si>
  <si>
    <t>男　子　団　体　戦　登　録</t>
    <rPh sb="0" eb="1">
      <t>オトコ</t>
    </rPh>
    <rPh sb="8" eb="9">
      <t>セン</t>
    </rPh>
    <rPh sb="10" eb="11">
      <t>ノボル</t>
    </rPh>
    <rPh sb="12" eb="13">
      <t>ロク</t>
    </rPh>
    <phoneticPr fontId="2"/>
  </si>
  <si>
    <t>年齢</t>
    <rPh sb="0" eb="2">
      <t>ネンレイ</t>
    </rPh>
    <phoneticPr fontId="2"/>
  </si>
  <si>
    <t>（４は補欠です）</t>
    <rPh sb="3" eb="5">
      <t>ホケツ</t>
    </rPh>
    <phoneticPr fontId="2"/>
  </si>
  <si>
    <t>男　子　個　人　戦　登　録</t>
    <rPh sb="0" eb="1">
      <t>オトコ</t>
    </rPh>
    <rPh sb="8" eb="9">
      <t>イクサ</t>
    </rPh>
    <rPh sb="10" eb="11">
      <t>ノボル</t>
    </rPh>
    <rPh sb="12" eb="13">
      <t>ロク</t>
    </rPh>
    <phoneticPr fontId="2"/>
  </si>
  <si>
    <t>（４は団体の補欠を兼ねます）</t>
    <rPh sb="3" eb="5">
      <t>ダンタイ</t>
    </rPh>
    <rPh sb="6" eb="8">
      <t>ホケツ</t>
    </rPh>
    <rPh sb="9" eb="10">
      <t>カ</t>
    </rPh>
    <phoneticPr fontId="2"/>
  </si>
  <si>
    <t>顧問及び引率員数</t>
    <rPh sb="0" eb="2">
      <t>コモン</t>
    </rPh>
    <rPh sb="2" eb="3">
      <t>オヨ</t>
    </rPh>
    <rPh sb="4" eb="6">
      <t>インソツ</t>
    </rPh>
    <rPh sb="6" eb="7">
      <t>イン</t>
    </rPh>
    <rPh sb="7" eb="8">
      <t>スウ</t>
    </rPh>
    <phoneticPr fontId="2"/>
  </si>
  <si>
    <t>参加選手数</t>
    <rPh sb="0" eb="2">
      <t>サンカ</t>
    </rPh>
    <rPh sb="2" eb="5">
      <t>センシュスウ</t>
    </rPh>
    <phoneticPr fontId="2"/>
  </si>
  <si>
    <t>選手以外の参加数</t>
    <rPh sb="0" eb="2">
      <t>センシュ</t>
    </rPh>
    <rPh sb="2" eb="4">
      <t>イガイ</t>
    </rPh>
    <rPh sb="5" eb="8">
      <t>サンカスウ</t>
    </rPh>
    <phoneticPr fontId="2"/>
  </si>
  <si>
    <t>名</t>
    <rPh sb="0" eb="1">
      <t>メイ</t>
    </rPh>
    <phoneticPr fontId="2"/>
  </si>
  <si>
    <t>（　女　子　）</t>
    <rPh sb="2" eb="3">
      <t>オンナ</t>
    </rPh>
    <rPh sb="4" eb="5">
      <t>コ</t>
    </rPh>
    <phoneticPr fontId="2"/>
  </si>
  <si>
    <t>女　子　団　体　戦　登　録</t>
    <rPh sb="0" eb="1">
      <t>オンナ</t>
    </rPh>
    <rPh sb="8" eb="9">
      <t>セン</t>
    </rPh>
    <rPh sb="10" eb="11">
      <t>ノボル</t>
    </rPh>
    <rPh sb="12" eb="13">
      <t>ロク</t>
    </rPh>
    <phoneticPr fontId="2"/>
  </si>
  <si>
    <t>チーム</t>
    <phoneticPr fontId="2"/>
  </si>
  <si>
    <t>Ａ</t>
    <phoneticPr fontId="2"/>
  </si>
  <si>
    <t>女　子　個　人　戦　登　録</t>
    <rPh sb="0" eb="1">
      <t>オンナ</t>
    </rPh>
    <rPh sb="8" eb="9">
      <t>イクサ</t>
    </rPh>
    <rPh sb="10" eb="11">
      <t>ノボル</t>
    </rPh>
    <rPh sb="12" eb="13">
      <t>ロク</t>
    </rPh>
    <phoneticPr fontId="2"/>
  </si>
  <si>
    <t>（１９）　弓　道</t>
    <rPh sb="5" eb="6">
      <t>ユミ</t>
    </rPh>
    <rPh sb="7" eb="8">
      <t>ミチ</t>
    </rPh>
    <phoneticPr fontId="2"/>
  </si>
  <si>
    <t>性　別</t>
    <rPh sb="0" eb="1">
      <t>セイ</t>
    </rPh>
    <rPh sb="2" eb="3">
      <t>ベツ</t>
    </rPh>
    <phoneticPr fontId="2"/>
  </si>
  <si>
    <t>監督名前</t>
    <rPh sb="0" eb="2">
      <t>カントク</t>
    </rPh>
    <rPh sb="2" eb="4">
      <t>ナマエ</t>
    </rPh>
    <phoneticPr fontId="2"/>
  </si>
  <si>
    <t>監督名字</t>
    <rPh sb="0" eb="2">
      <t>カントク</t>
    </rPh>
    <rPh sb="2" eb="4">
      <t>ミョウジ</t>
    </rPh>
    <phoneticPr fontId="2"/>
  </si>
  <si>
    <t>講習会開催日</t>
    <rPh sb="0" eb="3">
      <t>コウシュウカイ</t>
    </rPh>
    <rPh sb="3" eb="6">
      <t>カイサイビ</t>
    </rPh>
    <phoneticPr fontId="2"/>
  </si>
  <si>
    <t>地区</t>
    <rPh sb="0" eb="2">
      <t>チク</t>
    </rPh>
    <phoneticPr fontId="2"/>
  </si>
  <si>
    <t>吾中央</t>
    <rPh sb="0" eb="1">
      <t>ワレ</t>
    </rPh>
    <rPh sb="1" eb="3">
      <t>チュウオウ</t>
    </rPh>
    <phoneticPr fontId="2"/>
  </si>
  <si>
    <t>受審
予定</t>
    <rPh sb="0" eb="2">
      <t>ジュシン</t>
    </rPh>
    <rPh sb="3" eb="5">
      <t>ヨテイ</t>
    </rPh>
    <phoneticPr fontId="2"/>
  </si>
  <si>
    <t>希望日</t>
    <rPh sb="0" eb="3">
      <t>キボウビ</t>
    </rPh>
    <phoneticPr fontId="2"/>
  </si>
  <si>
    <t>引率名字</t>
    <rPh sb="0" eb="2">
      <t>インソツ</t>
    </rPh>
    <rPh sb="2" eb="4">
      <t>ミョウジ</t>
    </rPh>
    <phoneticPr fontId="2"/>
  </si>
  <si>
    <t>引率名前</t>
    <rPh sb="0" eb="2">
      <t>インソツ</t>
    </rPh>
    <rPh sb="2" eb="4">
      <t>ナマエ</t>
    </rPh>
    <phoneticPr fontId="2"/>
  </si>
  <si>
    <t>引率教諭名</t>
    <rPh sb="0" eb="2">
      <t>インソツ</t>
    </rPh>
    <rPh sb="2" eb="4">
      <t>キョウユ</t>
    </rPh>
    <rPh sb="4" eb="5">
      <t>メイ</t>
    </rPh>
    <phoneticPr fontId="2"/>
  </si>
  <si>
    <t>Ａ</t>
  </si>
  <si>
    <t>Ｂ</t>
  </si>
  <si>
    <t>（４はＡチーム補欠、８はＢチーム補欠、１２はＣチーム補欠です）</t>
    <rPh sb="7" eb="9">
      <t>ホケツ</t>
    </rPh>
    <rPh sb="16" eb="18">
      <t>ホケツ</t>
    </rPh>
    <rPh sb="26" eb="28">
      <t>ホケツ</t>
    </rPh>
    <phoneticPr fontId="2"/>
  </si>
  <si>
    <t>①</t>
    <phoneticPr fontId="2"/>
  </si>
  <si>
    <t>②</t>
    <phoneticPr fontId="2"/>
  </si>
  <si>
    <t>③</t>
    <phoneticPr fontId="2"/>
  </si>
  <si>
    <t>④</t>
    <phoneticPr fontId="2"/>
  </si>
  <si>
    <t>⑤</t>
    <phoneticPr fontId="2"/>
  </si>
  <si>
    <t>⑥</t>
    <phoneticPr fontId="2"/>
  </si>
  <si>
    <t>⑦</t>
    <phoneticPr fontId="2"/>
  </si>
  <si>
    <t>　→不必要なスペースは入れない</t>
    <phoneticPr fontId="2"/>
  </si>
  <si>
    <t>⑧</t>
    <phoneticPr fontId="2"/>
  </si>
  <si>
    <t>⑨</t>
    <phoneticPr fontId="2"/>
  </si>
  <si>
    <t>　→手書きでもいいので入力しなくてもよい</t>
    <phoneticPr fontId="2"/>
  </si>
  <si>
    <t>　→「1999/01/01」のように入力すると自動的に「平成11年01月01日」と表示される</t>
    <phoneticPr fontId="2"/>
  </si>
  <si>
    <t>①</t>
    <phoneticPr fontId="2"/>
  </si>
  <si>
    <t>　　　</t>
    <phoneticPr fontId="2"/>
  </si>
  <si>
    <t>　→インハイ予選はこのとき登録してなくても出場可</t>
    <phoneticPr fontId="2"/>
  </si>
  <si>
    <t>④</t>
    <phoneticPr fontId="2"/>
  </si>
  <si>
    <t>　→この時に日弓連ＩＤがない生徒の申請と全国高体連弓道専門部登録２回目を行うのでインハイ予選に出場</t>
    <rPh sb="4" eb="5">
      <t>トキ</t>
    </rPh>
    <rPh sb="6" eb="8">
      <t>ニッキュウ</t>
    </rPh>
    <rPh sb="8" eb="9">
      <t>レン</t>
    </rPh>
    <rPh sb="14" eb="16">
      <t>セイト</t>
    </rPh>
    <rPh sb="17" eb="19">
      <t>シンセイ</t>
    </rPh>
    <rPh sb="20" eb="22">
      <t>ゼンコク</t>
    </rPh>
    <rPh sb="22" eb="25">
      <t>コウタイレン</t>
    </rPh>
    <rPh sb="25" eb="27">
      <t>キュウドウ</t>
    </rPh>
    <rPh sb="27" eb="30">
      <t>センモンブ</t>
    </rPh>
    <rPh sb="30" eb="32">
      <t>トウロク</t>
    </rPh>
    <rPh sb="33" eb="35">
      <t>カイメ</t>
    </rPh>
    <rPh sb="36" eb="37">
      <t>オコナ</t>
    </rPh>
    <rPh sb="44" eb="46">
      <t>ヨセン</t>
    </rPh>
    <rPh sb="47" eb="49">
      <t>シュツジョウ</t>
    </rPh>
    <phoneticPr fontId="2"/>
  </si>
  <si>
    <t>　　しない生徒も入力する</t>
    <phoneticPr fontId="2"/>
  </si>
  <si>
    <t>⑤</t>
    <phoneticPr fontId="2"/>
  </si>
  <si>
    <t>２・納入金ついて</t>
    <rPh sb="2" eb="5">
      <t>ノウニュウキン</t>
    </rPh>
    <phoneticPr fontId="2"/>
  </si>
  <si>
    <t>全国高体連弓道専門部加盟登録費について</t>
    <rPh sb="0" eb="2">
      <t>ゼンコク</t>
    </rPh>
    <rPh sb="2" eb="5">
      <t>コウタイレン</t>
    </rPh>
    <rPh sb="5" eb="7">
      <t>キュウドウ</t>
    </rPh>
    <rPh sb="7" eb="9">
      <t>センモン</t>
    </rPh>
    <rPh sb="9" eb="10">
      <t>ブ</t>
    </rPh>
    <rPh sb="10" eb="12">
      <t>カメイ</t>
    </rPh>
    <rPh sb="12" eb="14">
      <t>トウロク</t>
    </rPh>
    <rPh sb="14" eb="15">
      <t>ヒ</t>
    </rPh>
    <phoneticPr fontId="2"/>
  </si>
  <si>
    <t>群馬県弓道連盟会費について</t>
    <rPh sb="0" eb="3">
      <t>グンマケン</t>
    </rPh>
    <rPh sb="3" eb="5">
      <t>キュウドウ</t>
    </rPh>
    <rPh sb="5" eb="7">
      <t>レンメイ</t>
    </rPh>
    <rPh sb="7" eb="9">
      <t>カイヒ</t>
    </rPh>
    <phoneticPr fontId="2"/>
  </si>
  <si>
    <t>・高校３年間の内に１回１，０００円をインターハイ予選受付で支払う</t>
    <rPh sb="1" eb="3">
      <t>コウコウ</t>
    </rPh>
    <rPh sb="3" eb="5">
      <t>サンネン</t>
    </rPh>
    <rPh sb="5" eb="6">
      <t>カン</t>
    </rPh>
    <rPh sb="7" eb="8">
      <t>ウチ</t>
    </rPh>
    <rPh sb="10" eb="11">
      <t>カイ</t>
    </rPh>
    <rPh sb="16" eb="17">
      <t>エン</t>
    </rPh>
    <rPh sb="24" eb="26">
      <t>ヨセン</t>
    </rPh>
    <rPh sb="26" eb="28">
      <t>ウケツケ</t>
    </rPh>
    <rPh sb="29" eb="31">
      <t>シハラ</t>
    </rPh>
    <phoneticPr fontId="2"/>
  </si>
  <si>
    <t>　→日弓連ＩＤを中学生の時にすでに所有していても支払う</t>
    <rPh sb="2" eb="3">
      <t>ニチ</t>
    </rPh>
    <rPh sb="3" eb="4">
      <t>ユミ</t>
    </rPh>
    <rPh sb="4" eb="5">
      <t>レン</t>
    </rPh>
    <rPh sb="8" eb="10">
      <t>チュウガク</t>
    </rPh>
    <rPh sb="10" eb="11">
      <t>セイ</t>
    </rPh>
    <rPh sb="12" eb="13">
      <t>トキ</t>
    </rPh>
    <rPh sb="17" eb="19">
      <t>ショユウ</t>
    </rPh>
    <rPh sb="24" eb="26">
      <t>シハラ</t>
    </rPh>
    <phoneticPr fontId="2"/>
  </si>
  <si>
    <t>　　中学生の時に保有したＩＤは高校になっても変更しない</t>
    <rPh sb="2" eb="5">
      <t>チュウガクセイ</t>
    </rPh>
    <rPh sb="6" eb="7">
      <t>トキ</t>
    </rPh>
    <rPh sb="8" eb="10">
      <t>ホユウ</t>
    </rPh>
    <rPh sb="15" eb="17">
      <t>コウコウ</t>
    </rPh>
    <rPh sb="22" eb="24">
      <t>ヘンコウ</t>
    </rPh>
    <phoneticPr fontId="2"/>
  </si>
  <si>
    <t>　→一度支払った会費の登録取り消しや名義の付け替えはできない</t>
    <rPh sb="2" eb="4">
      <t>イチド</t>
    </rPh>
    <rPh sb="4" eb="6">
      <t>シハラ</t>
    </rPh>
    <rPh sb="8" eb="10">
      <t>カイヒ</t>
    </rPh>
    <phoneticPr fontId="2"/>
  </si>
  <si>
    <t>・日弓連ＩＤの取扱い</t>
    <rPh sb="1" eb="2">
      <t>ニチ</t>
    </rPh>
    <rPh sb="2" eb="3">
      <t>ユミ</t>
    </rPh>
    <rPh sb="3" eb="4">
      <t>レン</t>
    </rPh>
    <rPh sb="7" eb="9">
      <t>トリアツカ</t>
    </rPh>
    <phoneticPr fontId="2"/>
  </si>
  <si>
    <t>　１－群馬県弓道連盟は高校ごとに名簿データと支払いを照合して、名簿データを全日本弓道連盟送付</t>
    <rPh sb="44" eb="46">
      <t>ソウフ</t>
    </rPh>
    <phoneticPr fontId="2"/>
  </si>
  <si>
    <t>　２－１を受けて（公財）全日本弓道連盟がＩＤを割り振る</t>
    <phoneticPr fontId="2"/>
  </si>
  <si>
    <t>　３－ＩＤの割り振られた名簿データが群馬県弓道連盟を経由して群馬県高体連弓道専門部へ</t>
    <rPh sb="30" eb="33">
      <t>グンマケン</t>
    </rPh>
    <rPh sb="33" eb="36">
      <t>コウタイレン</t>
    </rPh>
    <rPh sb="36" eb="38">
      <t>キュウドウ</t>
    </rPh>
    <rPh sb="38" eb="41">
      <t>センモンブ</t>
    </rPh>
    <phoneticPr fontId="2"/>
  </si>
  <si>
    <t>　４－群馬県高体連弓道専門部から各校へ</t>
    <rPh sb="3" eb="6">
      <t>グンマケン</t>
    </rPh>
    <rPh sb="6" eb="9">
      <t>コウタイレン</t>
    </rPh>
    <rPh sb="9" eb="11">
      <t>キュウドウ</t>
    </rPh>
    <rPh sb="11" eb="14">
      <t>センモンブ</t>
    </rPh>
    <rPh sb="16" eb="18">
      <t>カクコウ</t>
    </rPh>
    <phoneticPr fontId="2"/>
  </si>
  <si>
    <t>　　できるだけ確定する。</t>
    <phoneticPr fontId="2"/>
  </si>
  <si>
    <t>　※ＩＤ付き名簿データが配信されたら「登」シートへの転記入力を関東個人県予選の申込時までに済ませる</t>
    <rPh sb="31" eb="33">
      <t>カントウ</t>
    </rPh>
    <rPh sb="33" eb="35">
      <t>コジン</t>
    </rPh>
    <rPh sb="35" eb="38">
      <t>ケンヨセン</t>
    </rPh>
    <phoneticPr fontId="2"/>
  </si>
  <si>
    <t>　　→群馬県高体連弓道専門部ではＩＤ入力を代行しない</t>
    <rPh sb="3" eb="6">
      <t>グンマケン</t>
    </rPh>
    <rPh sb="6" eb="9">
      <t>コウタイレン</t>
    </rPh>
    <rPh sb="9" eb="11">
      <t>キュウドウ</t>
    </rPh>
    <rPh sb="11" eb="14">
      <t>センモンブ</t>
    </rPh>
    <phoneticPr fontId="2"/>
  </si>
  <si>
    <t>　　→顧問の先生の責任で必ずＩＤ入力を済ませてから関東個人県予選の申込をする</t>
    <rPh sb="3" eb="5">
      <t>コモン</t>
    </rPh>
    <rPh sb="12" eb="13">
      <t>カナラ</t>
    </rPh>
    <rPh sb="25" eb="27">
      <t>カントウ</t>
    </rPh>
    <rPh sb="27" eb="29">
      <t>コジン</t>
    </rPh>
    <rPh sb="29" eb="32">
      <t>ケンヨセン</t>
    </rPh>
    <rPh sb="33" eb="35">
      <t>モウシコミ</t>
    </rPh>
    <phoneticPr fontId="2"/>
  </si>
  <si>
    <t>⑥</t>
    <phoneticPr fontId="2"/>
  </si>
  <si>
    <t>「弓連バッジ（全日本弓道連盟会員章）」３５０円　</t>
    <phoneticPr fontId="2"/>
  </si>
  <si>
    <t>・弓具とあわせて購入すること。（群馬県弓道連盟会長の通達）</t>
    <phoneticPr fontId="2"/>
  </si>
  <si>
    <t>・集金に関する保護者通知文には「全日本弓道連盟会員章」代金の名目で掲載</t>
    <phoneticPr fontId="2"/>
  </si>
  <si>
    <t>　→この会員章は全日本弓道連盟の頒布品</t>
    <phoneticPr fontId="2"/>
  </si>
  <si>
    <t>　→会員章についてはどの弓具店で購入する場合でも値引きサービスは求めてはならない</t>
    <phoneticPr fontId="2"/>
  </si>
  <si>
    <t>　→弓具店に在庫がない場合は各弓具店ネット販売でも購入可能です</t>
    <rPh sb="14" eb="15">
      <t>カク</t>
    </rPh>
    <rPh sb="15" eb="16">
      <t>キュウ</t>
    </rPh>
    <rPh sb="16" eb="17">
      <t>グ</t>
    </rPh>
    <rPh sb="17" eb="18">
      <t>テン</t>
    </rPh>
    <rPh sb="21" eb="23">
      <t>ハンバイ</t>
    </rPh>
    <rPh sb="25" eb="27">
      <t>コウニュウ</t>
    </rPh>
    <rPh sb="27" eb="29">
      <t>カノウ</t>
    </rPh>
    <phoneticPr fontId="2"/>
  </si>
  <si>
    <t>色の付いたセルのみ入力する（それ以外は保護がかかっている）</t>
    <rPh sb="0" eb="1">
      <t>イロ</t>
    </rPh>
    <rPh sb="2" eb="3">
      <t>ツ</t>
    </rPh>
    <rPh sb="9" eb="11">
      <t>ニュウリョク</t>
    </rPh>
    <rPh sb="16" eb="18">
      <t>イガイ</t>
    </rPh>
    <rPh sb="19" eb="21">
      <t>ホゴ</t>
    </rPh>
    <phoneticPr fontId="2"/>
  </si>
  <si>
    <t>　→リーダー養成研修会の申込は手書きでもいいので入力しなくてもよい</t>
    <phoneticPr fontId="2"/>
  </si>
  <si>
    <t>　→（県連会費未払い２・３年生の人数＋１年生の人数）×１，０００円を県連会費としてインハイ予選受付で徴収</t>
    <rPh sb="3" eb="5">
      <t>ケンレン</t>
    </rPh>
    <rPh sb="5" eb="7">
      <t>カイヒ</t>
    </rPh>
    <rPh sb="7" eb="9">
      <t>ミハラ</t>
    </rPh>
    <rPh sb="13" eb="15">
      <t>ネンセイ</t>
    </rPh>
    <rPh sb="16" eb="18">
      <t>ニンズウ</t>
    </rPh>
    <rPh sb="19" eb="22">
      <t>イチネンセイ</t>
    </rPh>
    <rPh sb="23" eb="25">
      <t>ニンズウ</t>
    </rPh>
    <rPh sb="32" eb="33">
      <t>エン</t>
    </rPh>
    <rPh sb="34" eb="36">
      <t>ケンレン</t>
    </rPh>
    <rPh sb="36" eb="38">
      <t>カイヒ</t>
    </rPh>
    <rPh sb="45" eb="47">
      <t>ヨセン</t>
    </rPh>
    <rPh sb="47" eb="49">
      <t>ウケツケ</t>
    </rPh>
    <rPh sb="50" eb="52">
      <t>チョウシュウ</t>
    </rPh>
    <phoneticPr fontId="2"/>
  </si>
  <si>
    <t>※退部した生徒はシート「登」のデータを年度末まで削除しない</t>
    <rPh sb="1" eb="3">
      <t>タイブ</t>
    </rPh>
    <rPh sb="5" eb="7">
      <t>セイト</t>
    </rPh>
    <rPh sb="12" eb="13">
      <t>トウ</t>
    </rPh>
    <rPh sb="19" eb="22">
      <t>ネンドマツ</t>
    </rPh>
    <rPh sb="24" eb="26">
      <t>サクジョ</t>
    </rPh>
    <phoneticPr fontId="2"/>
  </si>
  <si>
    <t>Ⅰ・年度スタートに向けて行う手続き</t>
    <rPh sb="2" eb="4">
      <t>ネンド</t>
    </rPh>
    <rPh sb="9" eb="10">
      <t>ム</t>
    </rPh>
    <rPh sb="12" eb="13">
      <t>オコナ</t>
    </rPh>
    <rPh sb="14" eb="16">
      <t>テツヅ</t>
    </rPh>
    <phoneticPr fontId="2"/>
  </si>
  <si>
    <t>⑪</t>
    <phoneticPr fontId="2"/>
  </si>
  <si>
    <t>Ⅱ・新入部員の登録－シート名「登」</t>
    <rPh sb="2" eb="4">
      <t>シンニュウ</t>
    </rPh>
    <rPh sb="4" eb="6">
      <t>ブイン</t>
    </rPh>
    <rPh sb="7" eb="9">
      <t>トウロク</t>
    </rPh>
    <rPh sb="13" eb="14">
      <t>メイ</t>
    </rPh>
    <rPh sb="15" eb="16">
      <t>ノボル</t>
    </rPh>
    <phoneticPr fontId="2"/>
  </si>
  <si>
    <t>Ⅲ・大会参加申込</t>
    <rPh sb="2" eb="4">
      <t>タイカイ</t>
    </rPh>
    <rPh sb="4" eb="6">
      <t>サンカ</t>
    </rPh>
    <rPh sb="6" eb="8">
      <t>モウシコミ</t>
    </rPh>
    <phoneticPr fontId="2"/>
  </si>
  <si>
    <t>※申込締切は申込締切日の１６時厳守でそれ以降は受け付けられない</t>
    <rPh sb="1" eb="3">
      <t>モウシコミ</t>
    </rPh>
    <rPh sb="3" eb="5">
      <t>シメキリ</t>
    </rPh>
    <rPh sb="6" eb="8">
      <t>モウシコミ</t>
    </rPh>
    <rPh sb="8" eb="11">
      <t>シメキリビ</t>
    </rPh>
    <rPh sb="14" eb="15">
      <t>ジ</t>
    </rPh>
    <rPh sb="15" eb="17">
      <t>ゲンシュ</t>
    </rPh>
    <rPh sb="20" eb="22">
      <t>イコウ</t>
    </rPh>
    <rPh sb="23" eb="24">
      <t>ウ</t>
    </rPh>
    <rPh sb="25" eb="26">
      <t>ツ</t>
    </rPh>
    <phoneticPr fontId="2"/>
  </si>
  <si>
    <t>※１６時以降は申込メールを送信しない</t>
    <rPh sb="3" eb="4">
      <t>ジ</t>
    </rPh>
    <rPh sb="4" eb="6">
      <t>イコウ</t>
    </rPh>
    <rPh sb="7" eb="9">
      <t>モウシコミ</t>
    </rPh>
    <rPh sb="13" eb="15">
      <t>ソウシン</t>
    </rPh>
    <phoneticPr fontId="2"/>
  </si>
  <si>
    <t>１．大会申込ファイルについて</t>
    <rPh sb="2" eb="4">
      <t>タイカイ</t>
    </rPh>
    <rPh sb="4" eb="6">
      <t>モウシコミ</t>
    </rPh>
    <phoneticPr fontId="2"/>
  </si>
  <si>
    <t>　→「国体選考希望」もこの時に入力する</t>
    <rPh sb="3" eb="5">
      <t>コクタイ</t>
    </rPh>
    <rPh sb="5" eb="7">
      <t>センコウ</t>
    </rPh>
    <rPh sb="7" eb="9">
      <t>キボウ</t>
    </rPh>
    <rPh sb="13" eb="14">
      <t>トキ</t>
    </rPh>
    <rPh sb="15" eb="17">
      <t>ニュウリョク</t>
    </rPh>
    <phoneticPr fontId="2"/>
  </si>
  <si>
    <t>　　→退部して実際は部にはいない生徒もそのままの状態で大会申込をする</t>
    <rPh sb="3" eb="5">
      <t>タイブ</t>
    </rPh>
    <rPh sb="7" eb="9">
      <t>ジッサイ</t>
    </rPh>
    <rPh sb="10" eb="11">
      <t>ブ</t>
    </rPh>
    <rPh sb="16" eb="18">
      <t>セイト</t>
    </rPh>
    <rPh sb="24" eb="26">
      <t>ジョウタイ</t>
    </rPh>
    <rPh sb="27" eb="29">
      <t>タイカイ</t>
    </rPh>
    <rPh sb="29" eb="31">
      <t>モウシコミ</t>
    </rPh>
    <phoneticPr fontId="2"/>
  </si>
  <si>
    <t>高校生育成講習会①</t>
    <rPh sb="0" eb="3">
      <t>コウコウセイ</t>
    </rPh>
    <rPh sb="3" eb="5">
      <t>イクセイ</t>
    </rPh>
    <rPh sb="5" eb="8">
      <t>コウシュウカイ</t>
    </rPh>
    <phoneticPr fontId="2"/>
  </si>
  <si>
    <t>高校生育成講習会②</t>
    <rPh sb="0" eb="3">
      <t>コウコウセイ</t>
    </rPh>
    <rPh sb="3" eb="5">
      <t>イクセイ</t>
    </rPh>
    <rPh sb="5" eb="8">
      <t>コウシュウカイ</t>
    </rPh>
    <phoneticPr fontId="2"/>
  </si>
  <si>
    <t>男子　　　名</t>
    <rPh sb="0" eb="2">
      <t>ダンシ</t>
    </rPh>
    <rPh sb="5" eb="6">
      <t>メイ</t>
    </rPh>
    <phoneticPr fontId="2"/>
  </si>
  <si>
    <t>女子　　　名</t>
    <rPh sb="0" eb="2">
      <t>ジョシ</t>
    </rPh>
    <rPh sb="5" eb="6">
      <t>メイ</t>
    </rPh>
    <phoneticPr fontId="2"/>
  </si>
  <si>
    <t>抽選</t>
    <rPh sb="0" eb="2">
      <t>チュウセン</t>
    </rPh>
    <phoneticPr fontId="2"/>
  </si>
  <si>
    <t>県総体</t>
    <rPh sb="0" eb="1">
      <t>ケン</t>
    </rPh>
    <rPh sb="1" eb="3">
      <t>ソウタイ</t>
    </rPh>
    <phoneticPr fontId="2"/>
  </si>
  <si>
    <t>関個</t>
    <rPh sb="0" eb="1">
      <t>セキ</t>
    </rPh>
    <rPh sb="1" eb="2">
      <t>コ</t>
    </rPh>
    <phoneticPr fontId="2"/>
  </si>
  <si>
    <t>新人</t>
    <rPh sb="0" eb="2">
      <t>シンジン</t>
    </rPh>
    <phoneticPr fontId="2"/>
  </si>
  <si>
    <t>ｲﾝﾊｲ</t>
  </si>
  <si>
    <t>吾中央</t>
  </si>
  <si>
    <t>太　女</t>
  </si>
  <si>
    <t>渋　女</t>
  </si>
  <si>
    <t>高　女</t>
  </si>
  <si>
    <t>前　女</t>
  </si>
  <si>
    <t>③</t>
    <phoneticPr fontId="2"/>
  </si>
  <si>
    <t>④</t>
    <phoneticPr fontId="2"/>
  </si>
  <si>
    <t>⑩</t>
    <phoneticPr fontId="2"/>
  </si>
  <si>
    <t>⑫</t>
    <phoneticPr fontId="2"/>
  </si>
  <si>
    <t>⑬</t>
    <phoneticPr fontId="2"/>
  </si>
  <si>
    <t>・総体申込データでで登録費を算出し総体受付で集金</t>
    <rPh sb="1" eb="3">
      <t>ソウタイ</t>
    </rPh>
    <rPh sb="3" eb="5">
      <t>モウシコミ</t>
    </rPh>
    <rPh sb="10" eb="12">
      <t>トウロク</t>
    </rPh>
    <rPh sb="12" eb="13">
      <t>ヒ</t>
    </rPh>
    <rPh sb="14" eb="16">
      <t>サンシュツ</t>
    </rPh>
    <rPh sb="17" eb="19">
      <t>ソウタイ</t>
    </rPh>
    <rPh sb="19" eb="21">
      <t>ウケツケ</t>
    </rPh>
    <rPh sb="22" eb="24">
      <t>シュウキン</t>
    </rPh>
    <phoneticPr fontId="2"/>
  </si>
  <si>
    <t>大会申込ファイル使用の手引き</t>
    <rPh sb="0" eb="2">
      <t>タイカイ</t>
    </rPh>
    <rPh sb="2" eb="4">
      <t>モウシコミ</t>
    </rPh>
    <rPh sb="8" eb="10">
      <t>シヨウ</t>
    </rPh>
    <rPh sb="11" eb="13">
      <t>テビ</t>
    </rPh>
    <phoneticPr fontId="2"/>
  </si>
  <si>
    <t>Ⅳ・各団体登録と納入金について</t>
    <rPh sb="2" eb="5">
      <t>カクダンタイ</t>
    </rPh>
    <rPh sb="5" eb="7">
      <t>トウロク</t>
    </rPh>
    <rPh sb="8" eb="11">
      <t>ノウニュウキン</t>
    </rPh>
    <phoneticPr fontId="2"/>
  </si>
  <si>
    <t>　　男子校　　　　　　　→２，０００円・女子校　　　→２，０００円</t>
    <rPh sb="2" eb="5">
      <t>ダンシコウ</t>
    </rPh>
    <rPh sb="18" eb="19">
      <t>エン</t>
    </rPh>
    <phoneticPr fontId="2"/>
  </si>
  <si>
    <t>　　共学校　男女実施校　→４，０００円・男子のみ実施→２，０００円・女子のみ実施→２，０００円</t>
    <rPh sb="2" eb="5">
      <t>キョウガクコウ</t>
    </rPh>
    <rPh sb="6" eb="8">
      <t>ダンジョ</t>
    </rPh>
    <rPh sb="8" eb="11">
      <t>ジッシコウ</t>
    </rPh>
    <rPh sb="18" eb="19">
      <t>エン</t>
    </rPh>
    <phoneticPr fontId="2"/>
  </si>
  <si>
    <t>　→この時のデータで全国高体連弓道専門部加盟登録費を計算し総体の受付で徴収する</t>
    <rPh sb="4" eb="5">
      <t>トキ</t>
    </rPh>
    <rPh sb="10" eb="12">
      <t>ゼンコク</t>
    </rPh>
    <rPh sb="12" eb="15">
      <t>コウタイレン</t>
    </rPh>
    <rPh sb="15" eb="17">
      <t>キュウドウ</t>
    </rPh>
    <rPh sb="17" eb="20">
      <t>センモンブ</t>
    </rPh>
    <rPh sb="20" eb="22">
      <t>カメイ</t>
    </rPh>
    <rPh sb="22" eb="25">
      <t>トウロクヒ</t>
    </rPh>
    <rPh sb="26" eb="28">
      <t>ケイサン</t>
    </rPh>
    <phoneticPr fontId="2"/>
  </si>
  <si>
    <t>図・登録団体一覧</t>
    <rPh sb="0" eb="1">
      <t>ズ</t>
    </rPh>
    <rPh sb="2" eb="4">
      <t>トウロク</t>
    </rPh>
    <rPh sb="4" eb="6">
      <t>ダンタイ</t>
    </rPh>
    <rPh sb="6" eb="8">
      <t>イチラン</t>
    </rPh>
    <phoneticPr fontId="2"/>
  </si>
  <si>
    <t>群馬県高体連弓道専門部長　様</t>
    <phoneticPr fontId="2"/>
  </si>
  <si>
    <t>　の参加について</t>
    <phoneticPr fontId="2"/>
  </si>
  <si>
    <t>学年別大会　男子</t>
    <rPh sb="0" eb="3">
      <t>ガクネンベツ</t>
    </rPh>
    <rPh sb="3" eb="5">
      <t>タイカイ</t>
    </rPh>
    <rPh sb="6" eb="8">
      <t>ダンシ</t>
    </rPh>
    <phoneticPr fontId="2"/>
  </si>
  <si>
    <t>学年別大会　女子</t>
    <rPh sb="0" eb="3">
      <t>ガクネンベツ</t>
    </rPh>
    <rPh sb="3" eb="5">
      <t>タイカイ</t>
    </rPh>
    <rPh sb="6" eb="8">
      <t>ジョシ</t>
    </rPh>
    <phoneticPr fontId="2"/>
  </si>
  <si>
    <t>新春射会</t>
    <rPh sb="0" eb="2">
      <t>シンシュン</t>
    </rPh>
    <rPh sb="2" eb="3">
      <t>シャ</t>
    </rPh>
    <rPh sb="3" eb="4">
      <t>カイ</t>
    </rPh>
    <phoneticPr fontId="2"/>
  </si>
  <si>
    <t>大会</t>
    <rPh sb="0" eb="2">
      <t>タイカイ</t>
    </rPh>
    <phoneticPr fontId="2"/>
  </si>
  <si>
    <t>リーダー研修</t>
    <rPh sb="4" eb="6">
      <t>ケンシュウ</t>
    </rPh>
    <phoneticPr fontId="2"/>
  </si>
  <si>
    <t>1年生</t>
    <rPh sb="1" eb="3">
      <t>ネンセイ</t>
    </rPh>
    <phoneticPr fontId="2"/>
  </si>
  <si>
    <t>2年生</t>
    <rPh sb="1" eb="3">
      <t>ネンセイ</t>
    </rPh>
    <phoneticPr fontId="2"/>
  </si>
  <si>
    <t>学年</t>
    <rPh sb="0" eb="2">
      <t>ガクネン</t>
    </rPh>
    <phoneticPr fontId="2"/>
  </si>
  <si>
    <t>＊3/22以降の部員の増減は春季大会申込の時に修正し、春季申込データとともに送付</t>
    <phoneticPr fontId="2"/>
  </si>
  <si>
    <t>「入学年度」は西暦で入力-【半角】　　→例・2019年度入学は「19」</t>
    <rPh sb="1" eb="3">
      <t>ニュウガク</t>
    </rPh>
    <rPh sb="3" eb="5">
      <t>ネンド</t>
    </rPh>
    <rPh sb="7" eb="9">
      <t>セイレキ</t>
    </rPh>
    <rPh sb="10" eb="12">
      <t>ニュウリョク</t>
    </rPh>
    <phoneticPr fontId="2"/>
  </si>
  <si>
    <t>⑤</t>
    <phoneticPr fontId="2"/>
  </si>
  <si>
    <t>「gunkyumi@yahoo.co.jp」に申込ファイルを添付し送信する</t>
    <rPh sb="23" eb="25">
      <t>モウシコミ</t>
    </rPh>
    <rPh sb="30" eb="32">
      <t>テンプ</t>
    </rPh>
    <rPh sb="33" eb="35">
      <t>ソウシン</t>
    </rPh>
    <phoneticPr fontId="2"/>
  </si>
  <si>
    <t>申込ファイルを印刷した申込用紙に校長印を押印し、大会当日の受付に提出する（県総体を除く）</t>
    <rPh sb="0" eb="2">
      <t>モウシコミ</t>
    </rPh>
    <rPh sb="7" eb="9">
      <t>インサツ</t>
    </rPh>
    <rPh sb="11" eb="13">
      <t>モウシコミ</t>
    </rPh>
    <rPh sb="13" eb="15">
      <t>ヨウシ</t>
    </rPh>
    <rPh sb="16" eb="19">
      <t>コウチョウイン</t>
    </rPh>
    <rPh sb="20" eb="22">
      <t>オウイン</t>
    </rPh>
    <rPh sb="24" eb="26">
      <t>タイカイ</t>
    </rPh>
    <rPh sb="26" eb="28">
      <t>トウジツ</t>
    </rPh>
    <rPh sb="29" eb="31">
      <t>ウケツケ</t>
    </rPh>
    <rPh sb="32" eb="34">
      <t>テイシュツ</t>
    </rPh>
    <rPh sb="37" eb="38">
      <t>ケン</t>
    </rPh>
    <rPh sb="38" eb="40">
      <t>ソウタイ</t>
    </rPh>
    <rPh sb="41" eb="42">
      <t>ノゾ</t>
    </rPh>
    <phoneticPr fontId="2"/>
  </si>
  <si>
    <t>※提出しない場合は大会に出場できない場合もある</t>
    <rPh sb="1" eb="3">
      <t>テイシュツ</t>
    </rPh>
    <rPh sb="6" eb="8">
      <t>バアイ</t>
    </rPh>
    <rPh sb="9" eb="11">
      <t>タイカイ</t>
    </rPh>
    <rPh sb="12" eb="14">
      <t>シュツジョウ</t>
    </rPh>
    <rPh sb="18" eb="20">
      <t>バアイ</t>
    </rPh>
    <phoneticPr fontId="2"/>
  </si>
  <si>
    <t>4/18の送付データに変更がある場合はシート「登」を変更しｲﾝﾊｲ予選申込と兼ね6/6（木）16:00までに送付</t>
    <rPh sb="5" eb="7">
      <t>ソウフ</t>
    </rPh>
    <rPh sb="11" eb="13">
      <t>ヘンコウ</t>
    </rPh>
    <rPh sb="16" eb="18">
      <t>バアイ</t>
    </rPh>
    <rPh sb="23" eb="24">
      <t>トウ</t>
    </rPh>
    <rPh sb="26" eb="28">
      <t>ヘンコウ</t>
    </rPh>
    <rPh sb="33" eb="35">
      <t>ヨセン</t>
    </rPh>
    <rPh sb="35" eb="37">
      <t>モウシコミ</t>
    </rPh>
    <rPh sb="38" eb="39">
      <t>カ</t>
    </rPh>
    <phoneticPr fontId="2"/>
  </si>
  <si>
    <t>6/6の送付データに変更がある場合はシート「登」を変更し新人大会申込と兼ね10/10（木）16:00までに送付</t>
    <rPh sb="4" eb="6">
      <t>ソウフ</t>
    </rPh>
    <rPh sb="10" eb="12">
      <t>ヘンコウ</t>
    </rPh>
    <rPh sb="15" eb="17">
      <t>バアイ</t>
    </rPh>
    <rPh sb="22" eb="23">
      <t>トウ</t>
    </rPh>
    <rPh sb="25" eb="27">
      <t>ヘンコウ</t>
    </rPh>
    <rPh sb="28" eb="30">
      <t>シンジン</t>
    </rPh>
    <rPh sb="30" eb="32">
      <t>タイカイ</t>
    </rPh>
    <rPh sb="32" eb="34">
      <t>モウシコミ</t>
    </rPh>
    <rPh sb="35" eb="36">
      <t>カ</t>
    </rPh>
    <phoneticPr fontId="2"/>
  </si>
  <si>
    <t>　※処理にはたいへん時間がかかる。そのため、6/6（木）のインハイ予選申込時までに１年生の入部者</t>
    <rPh sb="33" eb="35">
      <t>ヨセン</t>
    </rPh>
    <rPh sb="35" eb="37">
      <t>モウシコミ</t>
    </rPh>
    <phoneticPr fontId="2"/>
  </si>
  <si>
    <t xml:space="preserve">年　　　月　　　日 </t>
    <rPh sb="0" eb="1">
      <t>ネン</t>
    </rPh>
    <rPh sb="4" eb="5">
      <t>ツキ</t>
    </rPh>
    <rPh sb="8" eb="9">
      <t>ニチ</t>
    </rPh>
    <phoneticPr fontId="2"/>
  </si>
  <si>
    <t>7-1</t>
    <phoneticPr fontId="2"/>
  </si>
  <si>
    <t>7-2</t>
    <phoneticPr fontId="2"/>
  </si>
  <si>
    <t>7-3</t>
  </si>
  <si>
    <t>7-4</t>
  </si>
  <si>
    <t>7-5</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</si>
  <si>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</si>
  <si>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</si>
  <si>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</si>
  <si>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</si>
  <si>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</si>
  <si>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</si>
  <si>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</si>
  <si>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</si>
  <si>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</si>
  <si>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</si>
  <si>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</si>
  <si>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</si>
  <si>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</si>
  <si>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</si>
  <si>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</si>
  <si>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</si>
  <si>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</si>
  <si>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</si>
  <si>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</si>
  <si>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</si>
  <si>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</si>
  <si>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</si>
  <si>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</si>
  <si>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</si>
  <si>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</si>
  <si>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</si>
  <si>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</si>
  <si>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</si>
  <si>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</si>
  <si>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</si>
  <si>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高等学校</t>
    <phoneticPr fontId="2"/>
  </si>
  <si>
    <t>１年講習会</t>
    <rPh sb="1" eb="2">
      <t>ネン</t>
    </rPh>
    <rPh sb="2" eb="5">
      <t>コウシュウカイ</t>
    </rPh>
    <phoneticPr fontId="2"/>
  </si>
  <si>
    <t>２０１９年度 県内大会「女子」立ち順一覧</t>
    <rPh sb="4" eb="5">
      <t>ネン</t>
    </rPh>
    <rPh sb="5" eb="6">
      <t>ド</t>
    </rPh>
    <rPh sb="7" eb="9">
      <t>ケンナイ</t>
    </rPh>
    <rPh sb="9" eb="11">
      <t>タイカイ</t>
    </rPh>
    <rPh sb="12" eb="14">
      <t>ジョシ</t>
    </rPh>
    <rPh sb="15" eb="16">
      <t>タ</t>
    </rPh>
    <rPh sb="17" eb="18">
      <t>ジュン</t>
    </rPh>
    <rPh sb="18" eb="20">
      <t>イチラン</t>
    </rPh>
    <phoneticPr fontId="2"/>
  </si>
  <si>
    <t>２０１９年度 県内大会「男子」立ち順一覧</t>
    <rPh sb="4" eb="6">
      <t>ネンド</t>
    </rPh>
    <rPh sb="7" eb="9">
      <t>ケンナイ</t>
    </rPh>
    <rPh sb="9" eb="11">
      <t>タイカイ</t>
    </rPh>
    <rPh sb="12" eb="14">
      <t>ダンシ</t>
    </rPh>
    <rPh sb="15" eb="16">
      <t>タ</t>
    </rPh>
    <rPh sb="17" eb="18">
      <t>ジュン</t>
    </rPh>
    <rPh sb="18" eb="20">
      <t>イチラン</t>
    </rPh>
    <phoneticPr fontId="2"/>
  </si>
  <si>
    <t>春季大会申込締め切り　4月18日（木）16:00（メール受信時刻有効）　送信先　gunkyumi@yahoo.ne.jp</t>
    <phoneticPr fontId="2"/>
  </si>
  <si>
    <t>②③</t>
    <phoneticPr fontId="2"/>
  </si>
  <si>
    <t>上記のとおり申し込みいたします。</t>
    <rPh sb="0" eb="2">
      <t>ジョウキ</t>
    </rPh>
    <rPh sb="6" eb="7">
      <t>モウ</t>
    </rPh>
    <rPh sb="8" eb="9">
      <t>コ</t>
    </rPh>
    <phoneticPr fontId="2"/>
  </si>
  <si>
    <t>027-251-8686</t>
  </si>
  <si>
    <t>0270-21-4151</t>
  </si>
  <si>
    <t>0270-25-3266</t>
  </si>
  <si>
    <t>0270-40-5005</t>
  </si>
  <si>
    <t>0276-84-4731</t>
  </si>
  <si>
    <t>0276-47-7711</t>
  </si>
  <si>
    <t>027-374-0053</t>
  </si>
  <si>
    <t>0274-24-6660</t>
  </si>
  <si>
    <t>027-381-0227</t>
  </si>
  <si>
    <t>027-232-1155</t>
  </si>
  <si>
    <t>027-264-7100</t>
  </si>
  <si>
    <t>027-221-4486</t>
  </si>
  <si>
    <t>027-231-2403</t>
  </si>
  <si>
    <t>027-221-4188</t>
  </si>
  <si>
    <t>027-231-2738</t>
  </si>
  <si>
    <t>027-265-2811</t>
  </si>
  <si>
    <t>027-267-1000</t>
  </si>
  <si>
    <t>027-251-7087</t>
  </si>
  <si>
    <t>027-263-2855</t>
  </si>
  <si>
    <t>0270-25-3216</t>
  </si>
  <si>
    <t>0270-25-5221</t>
  </si>
  <si>
    <t>0270-65-2309</t>
  </si>
  <si>
    <t>0277-45-2756</t>
  </si>
  <si>
    <t>0277-44-2477</t>
  </si>
  <si>
    <t>0277-45-2258</t>
  </si>
  <si>
    <t>0277-73-1611</t>
  </si>
  <si>
    <t>0276-31-7181</t>
  </si>
  <si>
    <t>0276-22-6651</t>
  </si>
  <si>
    <t>0276-57-1056</t>
  </si>
  <si>
    <t>0276-31-3321</t>
  </si>
  <si>
    <t>0276-74-1213</t>
  </si>
  <si>
    <t>0276-62-3564</t>
  </si>
  <si>
    <t>0279-22-4148</t>
  </si>
  <si>
    <t>0279-22-2551</t>
  </si>
  <si>
    <t>0279-24-2320</t>
  </si>
  <si>
    <t>0278-56-2310</t>
  </si>
  <si>
    <t>0278-23-1131</t>
  </si>
  <si>
    <t>0278-62-2116</t>
  </si>
  <si>
    <t>0279-75-3455</t>
  </si>
  <si>
    <t>027-324-0074</t>
  </si>
  <si>
    <t>027-362-2585</t>
  </si>
  <si>
    <t>027-344-1230</t>
  </si>
  <si>
    <t>027-323-1483</t>
  </si>
  <si>
    <t>027-352-3460</t>
  </si>
  <si>
    <t>027-373-1611</t>
  </si>
  <si>
    <t>027-373-5773</t>
  </si>
  <si>
    <t>0274-63-0053</t>
  </si>
  <si>
    <t>0274-22-2153</t>
  </si>
  <si>
    <t>027-388-3511</t>
  </si>
  <si>
    <t>0274-22-2308</t>
  </si>
  <si>
    <t>前橋市立前橋高等学校</t>
  </si>
  <si>
    <t>共愛学園高等学校</t>
  </si>
  <si>
    <t>前橋育英高等学校</t>
  </si>
  <si>
    <t>伊勢崎市立四ツ葉学園中等教育学校</t>
  </si>
  <si>
    <t>樹徳高等学校</t>
  </si>
  <si>
    <t>太田市立太田高等学校</t>
  </si>
  <si>
    <t>関東学園大学附属高等学校</t>
  </si>
  <si>
    <t>高崎健康福祉大学高崎高等学校</t>
  </si>
  <si>
    <t>明和県央高等学校</t>
  </si>
  <si>
    <t>ぐんま国際アカデミー高等部</t>
  </si>
  <si>
    <t>群馬県立前橋高等学校</t>
  </si>
  <si>
    <t>群馬県立前橋工業高等学校</t>
  </si>
  <si>
    <t>群馬県立前橋商業高等学校</t>
  </si>
  <si>
    <t>群馬県立勢多農林高等学校</t>
  </si>
  <si>
    <t>群馬県立前橋女子高等学校</t>
  </si>
  <si>
    <t>群馬県立前橋南高等学校</t>
  </si>
  <si>
    <t>群馬県立前橋東高等学校</t>
  </si>
  <si>
    <t>群馬県立前橋西高等学校</t>
  </si>
  <si>
    <t>群馬県立伊勢崎工業高等学校</t>
  </si>
  <si>
    <t>群馬県立伊勢崎清明高等学校</t>
  </si>
  <si>
    <t>群馬県立伊勢崎興陽高等学校</t>
  </si>
  <si>
    <t>群馬県立玉村高等学校</t>
  </si>
  <si>
    <t>群馬県立伊勢崎高等学校</t>
  </si>
  <si>
    <t>群馬県立桐生高等学校</t>
  </si>
  <si>
    <t>群馬県立桐生商業高等学校</t>
  </si>
  <si>
    <t>群馬県立大間々高等学校</t>
  </si>
  <si>
    <t>群馬県立太田高等学校</t>
  </si>
  <si>
    <t>群馬県立太田女子高等学校</t>
  </si>
  <si>
    <t>群馬県立新田暁高等学校</t>
  </si>
  <si>
    <t>群馬県立大泉高等学校</t>
  </si>
  <si>
    <t>群馬県立館林商工高等学校</t>
  </si>
  <si>
    <t>群馬県立渋川女子高等学校</t>
  </si>
  <si>
    <t>群馬県立渋川工業高等学校</t>
  </si>
  <si>
    <t>群馬県立渋川青翠高等学校</t>
  </si>
  <si>
    <t>群馬県立尾瀬高等学校</t>
  </si>
  <si>
    <t>群馬県立利根実業高等学校</t>
  </si>
  <si>
    <t>利根沼田学校組合立利根商業高等学校</t>
  </si>
  <si>
    <t>群馬県立吾妻中央高等学校</t>
  </si>
  <si>
    <t>群馬県立高崎高等学校</t>
  </si>
  <si>
    <t>群馬県立高崎女子高等学校</t>
  </si>
  <si>
    <t>高崎市立高崎経済大学附属高等学校</t>
  </si>
  <si>
    <t>群馬県立東京農業大学第二高等学校</t>
  </si>
  <si>
    <t>群馬県立高崎北高等学校</t>
  </si>
  <si>
    <t>群馬県立榛名高等学校</t>
  </si>
  <si>
    <t>群馬県立富岡高等学校</t>
  </si>
  <si>
    <t>群馬県立藤岡工業高等学校</t>
  </si>
  <si>
    <t>群馬県立吉井高等学校</t>
  </si>
  <si>
    <t>群馬県立藤岡北高等学校</t>
  </si>
  <si>
    <t>群馬県立藤岡中央高等学校</t>
  </si>
  <si>
    <t>群馬県立安中総合学園高等学校</t>
  </si>
  <si>
    <t>学校名</t>
    <rPh sb="0" eb="2">
      <t>ガッコウ</t>
    </rPh>
    <rPh sb="2" eb="3">
      <t>メイ</t>
    </rPh>
    <phoneticPr fontId="2"/>
  </si>
  <si>
    <t>校長名</t>
    <rPh sb="0" eb="3">
      <t>コウチョウメイ</t>
    </rPh>
    <phoneticPr fontId="2"/>
  </si>
  <si>
    <t>顧問名</t>
    <rPh sb="0" eb="2">
      <t>コモン</t>
    </rPh>
    <rPh sb="2" eb="3">
      <t>メイ</t>
    </rPh>
    <phoneticPr fontId="2"/>
  </si>
  <si>
    <t>電　話</t>
    <rPh sb="0" eb="1">
      <t>デン</t>
    </rPh>
    <rPh sb="2" eb="3">
      <t>ハナシ</t>
    </rPh>
    <phoneticPr fontId="2"/>
  </si>
  <si>
    <t>印</t>
    <rPh sb="0" eb="1">
      <t>イン</t>
    </rPh>
    <phoneticPr fontId="2"/>
  </si>
  <si>
    <r>
      <t>　県連会費を支払う　　　　担当者　　伊勢崎- 金山大弓 　</t>
    </r>
    <r>
      <rPr>
        <sz val="10"/>
        <rFont val="ＤＨＰ特太ゴシック体"/>
        <family val="3"/>
        <charset val="128"/>
      </rPr>
      <t>kanayama-daiq@edu-g.gsn.ed.jp</t>
    </r>
    <rPh sb="13" eb="16">
      <t>タントウシャ</t>
    </rPh>
    <phoneticPr fontId="2"/>
  </si>
  <si>
    <t>※④以降に新入部員が加入した場合は9/24（木）･12/26（木）までに担当者に連絡をとり日弓連ＩＤの申請し</t>
    <rPh sb="2" eb="4">
      <t>イコウ</t>
    </rPh>
    <rPh sb="5" eb="7">
      <t>シンニュウ</t>
    </rPh>
    <rPh sb="7" eb="9">
      <t>ブイン</t>
    </rPh>
    <rPh sb="10" eb="12">
      <t>カニュウ</t>
    </rPh>
    <rPh sb="14" eb="16">
      <t>バアイ</t>
    </rPh>
    <rPh sb="22" eb="23">
      <t>キ</t>
    </rPh>
    <rPh sb="31" eb="32">
      <t>キ</t>
    </rPh>
    <rPh sb="36" eb="39">
      <t>タントウシャ</t>
    </rPh>
    <rPh sb="40" eb="42">
      <t>レンラク</t>
    </rPh>
    <rPh sb="45" eb="47">
      <t>ニッキュウ</t>
    </rPh>
    <rPh sb="47" eb="48">
      <t>レン</t>
    </rPh>
    <rPh sb="51" eb="53">
      <t>シンセイ</t>
    </rPh>
    <phoneticPr fontId="2"/>
  </si>
  <si>
    <t>＊必ず①と②の申込をしてください。</t>
    <rPh sb="1" eb="2">
      <t>カナラ</t>
    </rPh>
    <rPh sb="7" eb="9">
      <t>モウシコミ</t>
    </rPh>
    <phoneticPr fontId="2"/>
  </si>
  <si>
    <t>　①－申込Excelファイルに入力し「gunkyumi@yahoo.co.jp」まで送付</t>
    <rPh sb="3" eb="5">
      <t>モウシコミ</t>
    </rPh>
    <rPh sb="15" eb="17">
      <t>ニュウリョク</t>
    </rPh>
    <rPh sb="42" eb="44">
      <t>ソウフ</t>
    </rPh>
    <phoneticPr fontId="2"/>
  </si>
  <si>
    <t>　②－①を印刷し各校の担当者に提出</t>
    <rPh sb="5" eb="7">
      <t>インサツ</t>
    </rPh>
    <rPh sb="8" eb="10">
      <t>カクコウ</t>
    </rPh>
    <rPh sb="11" eb="14">
      <t>タントウシャ</t>
    </rPh>
    <rPh sb="15" eb="17">
      <t>テイシュツ</t>
    </rPh>
    <phoneticPr fontId="2"/>
  </si>
  <si>
    <t>＊顧問総会で指示されたExcelファイルを使用してください。</t>
    <rPh sb="1" eb="3">
      <t>コモン</t>
    </rPh>
    <rPh sb="3" eb="5">
      <t>ソウカイ</t>
    </rPh>
    <rPh sb="6" eb="8">
      <t>シジ</t>
    </rPh>
    <rPh sb="21" eb="23">
      <t>シヨウ</t>
    </rPh>
    <phoneticPr fontId="2"/>
  </si>
  <si>
    <t>(案)</t>
    <rPh sb="1" eb="2">
      <t>アン</t>
    </rPh>
    <phoneticPr fontId="2"/>
  </si>
  <si>
    <t xml:space="preserve"> </t>
    <phoneticPr fontId="2"/>
  </si>
  <si>
    <t xml:space="preserve"> </t>
    <phoneticPr fontId="2"/>
  </si>
  <si>
    <t>2018年度の申込ファイルシート名「登」の３年生のデータを削除する。</t>
    <rPh sb="4" eb="6">
      <t>ネンド</t>
    </rPh>
    <rPh sb="22" eb="24">
      <t>ネンセイ</t>
    </rPh>
    <rPh sb="29" eb="31">
      <t>サクジョ</t>
    </rPh>
    <phoneticPr fontId="2"/>
  </si>
  <si>
    <t>2018年度の申込ファイルシート名「登」の退部した部員のデータを削除する。</t>
    <rPh sb="4" eb="6">
      <t>ネンド</t>
    </rPh>
    <rPh sb="32" eb="34">
      <t>サクジョ</t>
    </rPh>
    <phoneticPr fontId="2"/>
  </si>
  <si>
    <t>①</t>
    <phoneticPr fontId="2"/>
  </si>
  <si>
    <t>③</t>
    <phoneticPr fontId="2"/>
  </si>
  <si>
    <r>
      <t>上記①～②の作業を終えたら、</t>
    </r>
    <r>
      <rPr>
        <u/>
        <sz val="10"/>
        <rFont val="ＭＳ 明朝"/>
        <family val="1"/>
        <charset val="128"/>
      </rPr>
      <t>3/21（木）16:00</t>
    </r>
    <r>
      <rPr>
        <sz val="10"/>
        <rFont val="ＭＳ 明朝"/>
        <family val="1"/>
        <charset val="128"/>
      </rPr>
      <t>までに送付（このデータで大会当番表を作成）</t>
    </r>
    <rPh sb="0" eb="2">
      <t>ジョウキ</t>
    </rPh>
    <rPh sb="19" eb="20">
      <t>キ</t>
    </rPh>
    <phoneticPr fontId="2"/>
  </si>
  <si>
    <t>１・２年生データのシート名「登」を更新して3/21（木）16:00までに送付（大会当番作成用）</t>
    <rPh sb="3" eb="5">
      <t>ネンセイ</t>
    </rPh>
    <rPh sb="12" eb="13">
      <t>メイ</t>
    </rPh>
    <rPh sb="14" eb="15">
      <t>トウ</t>
    </rPh>
    <rPh sb="17" eb="19">
      <t>コウシン</t>
    </rPh>
    <rPh sb="26" eb="27">
      <t>キ</t>
    </rPh>
    <rPh sb="36" eb="38">
      <t>ソウフ</t>
    </rPh>
    <rPh sb="39" eb="41">
      <t>タイカイ</t>
    </rPh>
    <rPh sb="41" eb="43">
      <t>トウバン</t>
    </rPh>
    <rPh sb="43" eb="46">
      <t>サクセイヨウ</t>
    </rPh>
    <phoneticPr fontId="2"/>
  </si>
  <si>
    <t>3/21の送付データに変更がある場合はシート「登」を変更し春季・総体申込と兼ね4/18（木）16:00までに送付</t>
    <rPh sb="5" eb="7">
      <t>ソウフ</t>
    </rPh>
    <rPh sb="11" eb="13">
      <t>ヘンコウ</t>
    </rPh>
    <rPh sb="16" eb="18">
      <t>バアイ</t>
    </rPh>
    <rPh sb="23" eb="24">
      <t>トウ</t>
    </rPh>
    <rPh sb="26" eb="28">
      <t>ヘンコウ</t>
    </rPh>
    <rPh sb="29" eb="31">
      <t>シュンキ</t>
    </rPh>
    <rPh sb="32" eb="34">
      <t>ソウタイ</t>
    </rPh>
    <rPh sb="34" eb="36">
      <t>モウシコミ</t>
    </rPh>
    <rPh sb="37" eb="38">
      <t>カ</t>
    </rPh>
    <rPh sb="54" eb="56">
      <t>ソウフ</t>
    </rPh>
    <phoneticPr fontId="2"/>
  </si>
  <si>
    <t>チーム</t>
    <phoneticPr fontId="2"/>
  </si>
  <si>
    <t xml:space="preserve">○　○　○　○　 </t>
    <phoneticPr fontId="2"/>
  </si>
  <si>
    <t xml:space="preserve">○　○　○　○　 </t>
    <phoneticPr fontId="2"/>
  </si>
  <si>
    <t>○○</t>
    <phoneticPr fontId="2"/>
  </si>
  <si>
    <t>○○</t>
    <phoneticPr fontId="2"/>
  </si>
  <si>
    <t>令和</t>
    <rPh sb="0" eb="1">
      <t>レイ</t>
    </rPh>
    <rPh sb="1" eb="2">
      <t>ワ</t>
    </rPh>
    <phoneticPr fontId="2"/>
  </si>
  <si>
    <t>（団体対策）</t>
  </si>
  <si>
    <t>（４はＡチーム補欠です）</t>
    <rPh sb="7" eb="9">
      <t>ホケツ</t>
    </rPh>
    <phoneticPr fontId="2"/>
  </si>
  <si>
    <t>○　○　○　○</t>
    <phoneticPr fontId="2"/>
  </si>
  <si>
    <t>群馬県立○○○○</t>
    <rPh sb="0" eb="2">
      <t>グンマ</t>
    </rPh>
    <rPh sb="2" eb="4">
      <t>ケンリツ</t>
    </rPh>
    <phoneticPr fontId="2"/>
  </si>
  <si>
    <t>●　●　●　●</t>
    <phoneticPr fontId="2"/>
  </si>
  <si>
    <t>　→「生徒自宅℡」は｢0279-24-2320｣のように「‐」を間に入れる</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</si>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</sst>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00000"/>
    <numFmt numFmtId="178" formatCode="[$-411]ge\.m\.d;@"/>
    <numFmt numFmtId="179" formatCode="[$-411]ggge&quot;年&quot;m&quot;月&quot;d&quot;日&quot;;@"/>
    <numFmt numFmtId="180" formatCode="[$-411]ggge&quot;年&quot;mm&quot;月&quot;dd&quot;日&quot;;@"/>
    <numFmt numFmtId="181" formatCode="yyyy&quot;年&quot;m&quot;月&quot;d&quot;日&quot;;@"/>
    <numFmt numFmtId="182" formatCode="[$-F800]dddd\,\ mmmm\ dd\,\ yyyy"/>
  </numFmts>
  <fonts count="45">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b/>
      <sz val="18"/>
      <name val="ＭＳ ゴシック"/>
      <family val="3"/>
      <charset val="128"/>
    </font>
    <font>
      <sz val="16"/>
      <name val="ＭＳ ゴシック"/>
      <family val="3"/>
      <charset val="128"/>
    </font>
    <font>
      <sz val="16"/>
      <name val="ＭＳ 明朝"/>
      <family val="1"/>
      <charset val="128"/>
    </font>
    <font>
      <sz val="10"/>
      <name val="ＭＳ 明朝"/>
      <family val="1"/>
      <charset val="128"/>
    </font>
    <font>
      <sz val="11"/>
      <color indexed="8"/>
      <name val="ＭＳ 明朝"/>
      <family val="1"/>
      <charset val="128"/>
    </font>
    <font>
      <sz val="11"/>
      <color indexed="10"/>
      <name val="ＭＳ ゴシック"/>
      <family val="3"/>
      <charset val="128"/>
    </font>
    <font>
      <sz val="11"/>
      <name val="ＭＳ 明朝"/>
      <family val="1"/>
      <charset val="128"/>
    </font>
    <font>
      <sz val="10"/>
      <color indexed="10"/>
      <name val="ＭＳ 明朝"/>
      <family val="1"/>
      <charset val="128"/>
    </font>
    <font>
      <sz val="8"/>
      <name val="ＭＳ ゴシック"/>
      <family val="3"/>
      <charset val="128"/>
    </font>
    <font>
      <sz val="6"/>
      <name val="ＭＳ ゴシック"/>
      <family val="3"/>
      <charset val="128"/>
    </font>
    <font>
      <sz val="10"/>
      <name val="ＭＳ ゴシック"/>
      <family val="3"/>
      <charset val="128"/>
    </font>
    <font>
      <sz val="10"/>
      <name val="ＤＨＰ特太ゴシック体"/>
      <family val="3"/>
      <charset val="128"/>
    </font>
    <font>
      <u/>
      <sz val="10"/>
      <name val="ＭＳ 明朝"/>
      <family val="1"/>
      <charset val="128"/>
    </font>
    <font>
      <b/>
      <sz val="24"/>
      <name val="ＤＨＰ特太ゴシック体"/>
      <family val="3"/>
      <charset val="128"/>
    </font>
    <font>
      <b/>
      <sz val="14"/>
      <name val="HG丸ｺﾞｼｯｸM-PRO"/>
      <family val="3"/>
      <charset val="128"/>
    </font>
    <font>
      <sz val="10"/>
      <color rgb="FFFF0000"/>
      <name val="ＭＳ 明朝"/>
      <family val="1"/>
      <charset val="128"/>
    </font>
    <font>
      <sz val="10"/>
      <color theme="1"/>
      <name val="ＭＳ 明朝"/>
      <family val="1"/>
      <charset val="128"/>
    </font>
    <font>
      <sz val="24"/>
      <color theme="0"/>
      <name val="HG丸ｺﾞｼｯｸM-PRO"/>
      <family val="3"/>
      <charset val="128"/>
    </font>
    <font>
      <sz val="10.5"/>
      <name val="ＭＳ ゴシック"/>
      <family val="3"/>
      <charset val="128"/>
    </font>
    <font>
      <b/>
      <sz val="10.5"/>
      <name val="ＭＳ ゴシック"/>
      <family val="3"/>
      <charset val="128"/>
    </font>
    <font>
      <sz val="18"/>
      <name val="ＭＳ ゴシック"/>
      <family val="3"/>
      <charset val="128"/>
    </font>
    <font>
      <sz val="12"/>
      <name val="ＭＳ ゴシック"/>
      <family val="3"/>
      <charset val="128"/>
    </font>
    <font>
      <b/>
      <sz val="24"/>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6"/>
        <bgColor indexed="64"/>
      </patternFill>
    </fill>
    <fill>
      <patternFill patternType="solid">
        <fgColor indexed="31"/>
        <bgColor indexed="64"/>
      </patternFill>
    </fill>
    <fill>
      <patternFill patternType="solid">
        <fgColor indexed="51"/>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diagonalUp="1">
      <left style="thin">
        <color indexed="64"/>
      </left>
      <right style="thin">
        <color indexed="64"/>
      </right>
      <top/>
      <bottom/>
      <diagonal style="thin">
        <color indexed="64"/>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20" fillId="4" borderId="0" applyNumberFormat="0" applyBorder="0" applyAlignment="0" applyProtection="0">
      <alignment vertical="center"/>
    </xf>
  </cellStyleXfs>
  <cellXfs count="542">
    <xf numFmtId="0" fontId="0" fillId="0" borderId="0" xfId="0">
      <alignment vertical="center"/>
    </xf>
    <xf numFmtId="0" fontId="3" fillId="0" borderId="10" xfId="0" applyFont="1" applyBorder="1" applyAlignment="1">
      <alignment horizontal="center" vertical="center" shrinkToFit="1"/>
    </xf>
    <xf numFmtId="0" fontId="3" fillId="0" borderId="0" xfId="0" applyFont="1" applyAlignment="1">
      <alignment vertical="center" shrinkToFit="1"/>
    </xf>
    <xf numFmtId="0" fontId="3" fillId="0" borderId="11" xfId="0" applyFont="1" applyBorder="1" applyAlignment="1">
      <alignment horizontal="center" vertical="center" shrinkToFit="1"/>
    </xf>
    <xf numFmtId="0" fontId="25" fillId="0" borderId="0" xfId="0" applyFont="1">
      <alignment vertical="center"/>
    </xf>
    <xf numFmtId="176" fontId="25" fillId="0" borderId="12" xfId="0" applyNumberFormat="1" applyFont="1" applyBorder="1" applyAlignment="1">
      <alignment horizontal="center" vertical="center"/>
    </xf>
    <xf numFmtId="0" fontId="25" fillId="0" borderId="12" xfId="0" applyFont="1" applyBorder="1" applyAlignment="1">
      <alignment horizontal="center" vertical="center"/>
    </xf>
    <xf numFmtId="0" fontId="25" fillId="0" borderId="10" xfId="0" applyFont="1" applyBorder="1" applyAlignment="1">
      <alignment horizontal="center" vertical="center"/>
    </xf>
    <xf numFmtId="176" fontId="25" fillId="0" borderId="0" xfId="0" applyNumberFormat="1" applyFont="1" applyAlignment="1">
      <alignment horizontal="center" vertical="center"/>
    </xf>
    <xf numFmtId="0" fontId="25" fillId="0" borderId="0" xfId="0" applyFont="1" applyAlignment="1">
      <alignment horizontal="center" vertical="center"/>
    </xf>
    <xf numFmtId="49" fontId="25" fillId="0" borderId="0" xfId="42" applyNumberFormat="1" applyFont="1" applyAlignment="1">
      <alignment vertical="center" shrinkToFit="1"/>
    </xf>
    <xf numFmtId="0" fontId="25" fillId="0" borderId="0" xfId="0" applyFont="1" applyAlignment="1">
      <alignment horizontal="right" vertical="center" shrinkToFit="1"/>
    </xf>
    <xf numFmtId="0" fontId="29" fillId="0" borderId="0" xfId="0" applyFont="1" applyAlignment="1">
      <alignment vertical="center" shrinkToFit="1"/>
    </xf>
    <xf numFmtId="0" fontId="25" fillId="0" borderId="0" xfId="0" applyFont="1" applyAlignment="1">
      <alignment vertical="center" shrinkToFit="1"/>
    </xf>
    <xf numFmtId="49" fontId="25" fillId="0" borderId="0" xfId="42" applyNumberFormat="1" applyFont="1" applyAlignment="1">
      <alignment horizontal="center" vertical="center" shrinkToFit="1"/>
    </xf>
    <xf numFmtId="0" fontId="37" fillId="0" borderId="0" xfId="0" applyFont="1" applyAlignment="1">
      <alignment horizontal="right" vertical="center" shrinkToFit="1"/>
    </xf>
    <xf numFmtId="0" fontId="25" fillId="0" borderId="0" xfId="0" applyFont="1" applyAlignment="1">
      <alignment vertical="center" textRotation="255"/>
    </xf>
    <xf numFmtId="176" fontId="3" fillId="29" borderId="10" xfId="0" applyNumberFormat="1" applyFont="1" applyFill="1" applyBorder="1" applyAlignment="1" applyProtection="1">
      <alignment horizontal="center" vertical="center" shrinkToFit="1"/>
      <protection locked="0"/>
    </xf>
    <xf numFmtId="0" fontId="3" fillId="29" borderId="10" xfId="0" applyFont="1" applyFill="1" applyBorder="1" applyAlignment="1" applyProtection="1">
      <alignment horizontal="center" vertical="center" shrinkToFit="1"/>
      <protection locked="0"/>
    </xf>
    <xf numFmtId="0" fontId="3" fillId="29" borderId="10" xfId="0" applyFont="1" applyFill="1" applyBorder="1" applyAlignment="1" applyProtection="1">
      <alignment vertical="center" shrinkToFit="1"/>
      <protection locked="0"/>
    </xf>
    <xf numFmtId="49" fontId="25" fillId="0" borderId="12" xfId="42" applyNumberFormat="1" applyFont="1" applyBorder="1" applyAlignment="1">
      <alignment vertical="center" shrinkToFit="1"/>
    </xf>
    <xf numFmtId="49" fontId="25" fillId="0" borderId="27" xfId="42" applyNumberFormat="1" applyFont="1" applyBorder="1" applyAlignment="1">
      <alignment vertical="center" shrinkToFit="1"/>
    </xf>
    <xf numFmtId="49" fontId="25" fillId="0" borderId="29" xfId="42" applyNumberFormat="1" applyFont="1" applyBorder="1" applyAlignment="1">
      <alignment vertical="center" shrinkToFit="1"/>
    </xf>
    <xf numFmtId="0" fontId="3" fillId="0" borderId="18"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51" xfId="0" applyFont="1" applyBorder="1" applyAlignment="1">
      <alignment horizontal="center" vertical="center" shrinkToFit="1"/>
    </xf>
    <xf numFmtId="49" fontId="37" fillId="0" borderId="0" xfId="42" applyNumberFormat="1" applyFont="1" applyAlignment="1">
      <alignment vertical="center" shrinkToFit="1"/>
    </xf>
    <xf numFmtId="180" fontId="3" fillId="29" borderId="10" xfId="0" applyNumberFormat="1" applyFont="1" applyFill="1" applyBorder="1" applyAlignment="1" applyProtection="1">
      <alignment horizontal="center" vertical="center" shrinkToFit="1"/>
      <protection locked="0"/>
    </xf>
    <xf numFmtId="177" fontId="3" fillId="29" borderId="10" xfId="0" applyNumberFormat="1" applyFont="1" applyFill="1" applyBorder="1" applyAlignment="1" applyProtection="1">
      <alignment horizontal="center" vertical="center" shrinkToFit="1"/>
      <protection locked="0"/>
    </xf>
    <xf numFmtId="177" fontId="3" fillId="29" borderId="11" xfId="0" applyNumberFormat="1" applyFont="1" applyFill="1" applyBorder="1" applyAlignment="1" applyProtection="1">
      <alignment vertical="center" shrinkToFit="1"/>
      <protection locked="0"/>
    </xf>
    <xf numFmtId="177" fontId="3" fillId="29" borderId="10" xfId="0" applyNumberFormat="1" applyFont="1" applyFill="1" applyBorder="1" applyAlignment="1" applyProtection="1">
      <alignment vertical="center" shrinkToFit="1"/>
      <protection locked="0"/>
    </xf>
    <xf numFmtId="0" fontId="25" fillId="0" borderId="11" xfId="0" applyFont="1" applyBorder="1" applyAlignment="1">
      <alignment horizontal="center" vertical="center"/>
    </xf>
    <xf numFmtId="0" fontId="25" fillId="0" borderId="36" xfId="0" applyFont="1" applyBorder="1" applyAlignment="1">
      <alignment horizontal="center" vertical="center"/>
    </xf>
    <xf numFmtId="0" fontId="25" fillId="0" borderId="48" xfId="0" applyFont="1" applyBorder="1" applyAlignment="1">
      <alignment horizontal="center" vertical="center"/>
    </xf>
    <xf numFmtId="0" fontId="3" fillId="0" borderId="24" xfId="0" applyFont="1" applyBorder="1" applyAlignment="1">
      <alignment horizontal="center" vertical="center" shrinkToFit="1"/>
    </xf>
    <xf numFmtId="177" fontId="3" fillId="28" borderId="34" xfId="0" applyNumberFormat="1" applyFont="1" applyFill="1" applyBorder="1" applyAlignment="1" applyProtection="1">
      <alignment horizontal="center" vertical="center" shrinkToFit="1"/>
      <protection locked="0"/>
    </xf>
    <xf numFmtId="177" fontId="3" fillId="28" borderId="21" xfId="0" applyNumberFormat="1" applyFont="1" applyFill="1" applyBorder="1" applyAlignment="1" applyProtection="1">
      <alignment horizontal="center" vertical="center" shrinkToFit="1"/>
      <protection locked="0"/>
    </xf>
    <xf numFmtId="177" fontId="3" fillId="28" borderId="23" xfId="0" applyNumberFormat="1" applyFont="1" applyFill="1" applyBorder="1" applyAlignment="1" applyProtection="1">
      <alignment horizontal="center" vertical="center" shrinkToFit="1"/>
      <protection locked="0"/>
    </xf>
    <xf numFmtId="177" fontId="3" fillId="28" borderId="19" xfId="0" applyNumberFormat="1" applyFont="1" applyFill="1" applyBorder="1" applyAlignment="1" applyProtection="1">
      <alignment horizontal="center" vertical="center" shrinkToFit="1"/>
      <protection locked="0"/>
    </xf>
    <xf numFmtId="49" fontId="32" fillId="0" borderId="0" xfId="42" applyNumberFormat="1" applyFont="1" applyAlignment="1">
      <alignment vertical="center" shrinkToFit="1"/>
    </xf>
    <xf numFmtId="49" fontId="38" fillId="0" borderId="0" xfId="42" applyNumberFormat="1" applyFont="1" applyAlignment="1">
      <alignment vertical="center" shrinkToFit="1"/>
    </xf>
    <xf numFmtId="180" fontId="3" fillId="0" borderId="40" xfId="0" applyNumberFormat="1" applyFont="1" applyBorder="1" applyAlignment="1">
      <alignment horizontal="center" vertical="center" shrinkToFit="1"/>
    </xf>
    <xf numFmtId="180" fontId="3" fillId="0" borderId="20" xfId="0" applyNumberFormat="1" applyFont="1" applyBorder="1" applyAlignment="1">
      <alignment horizontal="center" vertical="center" shrinkToFit="1"/>
    </xf>
    <xf numFmtId="180" fontId="3" fillId="0" borderId="24" xfId="0" applyNumberFormat="1" applyFont="1" applyBorder="1" applyAlignment="1">
      <alignment horizontal="center" vertical="center" shrinkToFit="1"/>
    </xf>
    <xf numFmtId="180" fontId="3" fillId="0" borderId="69" xfId="0" applyNumberFormat="1" applyFont="1" applyBorder="1" applyAlignment="1">
      <alignment horizontal="center" vertical="center" shrinkToFit="1"/>
    </xf>
    <xf numFmtId="180" fontId="3" fillId="0" borderId="18" xfId="0" applyNumberFormat="1" applyFont="1" applyBorder="1" applyAlignment="1">
      <alignment horizontal="center" vertical="center" shrinkToFit="1"/>
    </xf>
    <xf numFmtId="0" fontId="3" fillId="0" borderId="67" xfId="0" applyFont="1" applyBorder="1" applyAlignment="1">
      <alignment vertical="center" shrinkToFit="1"/>
    </xf>
    <xf numFmtId="0" fontId="3" fillId="0" borderId="70" xfId="0" applyFont="1" applyBorder="1" applyAlignment="1">
      <alignment vertical="center" shrinkToFit="1"/>
    </xf>
    <xf numFmtId="0" fontId="3" fillId="0" borderId="71" xfId="0" applyFont="1" applyBorder="1" applyAlignment="1">
      <alignment vertical="center" shrinkToFit="1"/>
    </xf>
    <xf numFmtId="0" fontId="3" fillId="0" borderId="68" xfId="0" applyFont="1" applyBorder="1" applyAlignment="1">
      <alignment vertical="center" shrinkToFit="1"/>
    </xf>
    <xf numFmtId="0" fontId="3" fillId="0" borderId="72" xfId="0" applyFont="1" applyBorder="1" applyAlignment="1">
      <alignment horizontal="center" vertical="center" shrinkToFit="1"/>
    </xf>
    <xf numFmtId="0" fontId="3" fillId="0" borderId="73" xfId="0" applyFont="1" applyBorder="1" applyAlignment="1">
      <alignment vertical="center" shrinkToFit="1"/>
    </xf>
    <xf numFmtId="0" fontId="3" fillId="0" borderId="25" xfId="0" applyFont="1" applyBorder="1" applyAlignment="1">
      <alignment vertical="center" shrinkToFit="1"/>
    </xf>
    <xf numFmtId="0" fontId="3" fillId="0" borderId="75" xfId="0" applyFont="1" applyBorder="1" applyAlignment="1">
      <alignment vertical="center" shrinkToFit="1"/>
    </xf>
    <xf numFmtId="0" fontId="3" fillId="0" borderId="76" xfId="0" applyFont="1" applyBorder="1" applyAlignment="1">
      <alignment vertical="center" shrinkToFit="1"/>
    </xf>
    <xf numFmtId="182" fontId="3" fillId="0" borderId="14" xfId="0" applyNumberFormat="1" applyFont="1" applyBorder="1" applyAlignment="1">
      <alignment horizontal="center" vertical="center" shrinkToFit="1"/>
    </xf>
    <xf numFmtId="182" fontId="3" fillId="28" borderId="33" xfId="0" applyNumberFormat="1" applyFont="1" applyFill="1" applyBorder="1" applyAlignment="1">
      <alignment horizontal="center" vertical="center" shrinkToFit="1"/>
    </xf>
    <xf numFmtId="182" fontId="3" fillId="28" borderId="14" xfId="0" applyNumberFormat="1" applyFont="1" applyFill="1" applyBorder="1" applyAlignment="1">
      <alignment horizontal="center" vertical="center" shrinkToFit="1"/>
    </xf>
    <xf numFmtId="182" fontId="3" fillId="28" borderId="15" xfId="0" applyNumberFormat="1" applyFont="1" applyFill="1" applyBorder="1" applyAlignment="1">
      <alignment horizontal="center" vertical="center" shrinkToFit="1"/>
    </xf>
    <xf numFmtId="182" fontId="3" fillId="28" borderId="74" xfId="0" applyNumberFormat="1" applyFont="1" applyFill="1" applyBorder="1" applyAlignment="1">
      <alignment horizontal="center" vertical="center" shrinkToFit="1"/>
    </xf>
    <xf numFmtId="182" fontId="3" fillId="28" borderId="16" xfId="0" applyNumberFormat="1" applyFont="1" applyFill="1" applyBorder="1" applyAlignment="1">
      <alignment horizontal="center" vertical="center" shrinkToFit="1"/>
    </xf>
    <xf numFmtId="0" fontId="40" fillId="28" borderId="10" xfId="0" applyFont="1" applyFill="1" applyBorder="1" applyAlignment="1" applyProtection="1">
      <alignment horizontal="center" vertical="center" shrinkToFit="1"/>
      <protection locked="0"/>
    </xf>
    <xf numFmtId="177" fontId="40" fillId="28" borderId="34" xfId="0" applyNumberFormat="1" applyFont="1" applyFill="1" applyBorder="1" applyAlignment="1" applyProtection="1">
      <alignment horizontal="center" vertical="center" shrinkToFit="1"/>
      <protection locked="0"/>
    </xf>
    <xf numFmtId="177" fontId="40" fillId="28" borderId="21" xfId="0" applyNumberFormat="1" applyFont="1" applyFill="1" applyBorder="1" applyAlignment="1" applyProtection="1">
      <alignment horizontal="center" vertical="center" shrinkToFit="1"/>
      <protection locked="0"/>
    </xf>
    <xf numFmtId="177" fontId="40" fillId="28" borderId="64" xfId="0" applyNumberFormat="1" applyFont="1" applyFill="1" applyBorder="1" applyAlignment="1" applyProtection="1">
      <alignment horizontal="center" vertical="center" shrinkToFit="1"/>
      <protection locked="0"/>
    </xf>
    <xf numFmtId="177" fontId="40" fillId="28" borderId="23" xfId="0" applyNumberFormat="1" applyFont="1" applyFill="1" applyBorder="1" applyAlignment="1" applyProtection="1">
      <alignment horizontal="center" vertical="center" shrinkToFit="1"/>
      <protection locked="0"/>
    </xf>
    <xf numFmtId="0" fontId="40" fillId="28" borderId="26" xfId="0" applyFont="1" applyFill="1" applyBorder="1" applyAlignment="1" applyProtection="1">
      <alignment horizontal="center" vertical="center" shrinkToFit="1"/>
      <protection locked="0"/>
    </xf>
    <xf numFmtId="49" fontId="25" fillId="0" borderId="0" xfId="42" applyNumberFormat="1" applyFont="1" applyAlignment="1">
      <alignment horizontal="right" vertical="center" shrinkToFit="1"/>
    </xf>
    <xf numFmtId="0" fontId="25" fillId="0" borderId="0" xfId="0" applyFont="1" applyAlignment="1" applyProtection="1">
      <alignment horizontal="center" vertical="center" shrinkToFit="1"/>
    </xf>
    <xf numFmtId="0" fontId="25" fillId="0" borderId="10" xfId="0" applyFont="1" applyBorder="1" applyAlignment="1" applyProtection="1">
      <alignment horizontal="center" vertical="center" shrinkToFit="1"/>
    </xf>
    <xf numFmtId="0" fontId="25" fillId="24" borderId="10" xfId="0" applyFont="1" applyFill="1" applyBorder="1" applyAlignment="1" applyProtection="1">
      <alignment horizontal="center" vertical="center" shrinkToFit="1"/>
    </xf>
    <xf numFmtId="176" fontId="3" fillId="0" borderId="10" xfId="0" applyNumberFormat="1" applyFont="1" applyBorder="1" applyAlignment="1" applyProtection="1">
      <alignment horizontal="center" vertical="center" shrinkToFit="1"/>
    </xf>
    <xf numFmtId="0" fontId="3" fillId="0" borderId="10" xfId="0" applyFont="1" applyBorder="1" applyAlignment="1" applyProtection="1">
      <alignment vertical="center" shrinkToFit="1"/>
    </xf>
    <xf numFmtId="0" fontId="3" fillId="0" borderId="0" xfId="0" applyFont="1" applyAlignment="1" applyProtection="1">
      <alignment horizontal="center" vertical="center" shrinkToFit="1"/>
    </xf>
    <xf numFmtId="0" fontId="3" fillId="0" borderId="0" xfId="0" applyFont="1" applyAlignment="1" applyProtection="1">
      <alignment vertical="center" shrinkToFit="1"/>
    </xf>
    <xf numFmtId="0" fontId="3" fillId="0" borderId="0" xfId="0" applyFont="1" applyAlignment="1" applyProtection="1">
      <alignment horizontal="center" shrinkToFit="1"/>
    </xf>
    <xf numFmtId="177" fontId="3" fillId="0" borderId="0" xfId="0" applyNumberFormat="1" applyFont="1" applyAlignment="1" applyProtection="1">
      <alignment horizontal="center" shrinkToFit="1"/>
    </xf>
    <xf numFmtId="176" fontId="3" fillId="0" borderId="0" xfId="0" applyNumberFormat="1" applyFont="1" applyAlignment="1" applyProtection="1">
      <alignment horizontal="center" shrinkToFit="1"/>
    </xf>
    <xf numFmtId="0" fontId="3" fillId="0" borderId="0" xfId="0" applyFont="1" applyAlignment="1" applyProtection="1">
      <alignment shrinkToFit="1"/>
    </xf>
    <xf numFmtId="177" fontId="3" fillId="0" borderId="10" xfId="0" applyNumberFormat="1" applyFont="1" applyBorder="1" applyAlignment="1" applyProtection="1">
      <alignment horizontal="center" vertical="center" shrinkToFit="1"/>
    </xf>
    <xf numFmtId="38" fontId="31" fillId="0" borderId="0" xfId="33" applyFont="1" applyAlignment="1" applyProtection="1">
      <alignment horizontal="center" vertical="top" shrinkToFit="1"/>
    </xf>
    <xf numFmtId="177" fontId="3" fillId="0" borderId="0" xfId="0" applyNumberFormat="1" applyFont="1" applyAlignment="1" applyProtection="1">
      <alignment horizontal="center" vertical="center" shrinkToFit="1"/>
    </xf>
    <xf numFmtId="0" fontId="3" fillId="0" borderId="12" xfId="0" applyFont="1" applyBorder="1" applyAlignment="1" applyProtection="1">
      <alignment horizontal="center" vertical="center" shrinkToFit="1"/>
    </xf>
    <xf numFmtId="176" fontId="3" fillId="0" borderId="12" xfId="0" applyNumberFormat="1" applyFont="1" applyBorder="1" applyAlignment="1" applyProtection="1">
      <alignment horizontal="center" vertical="center" shrinkToFit="1"/>
    </xf>
    <xf numFmtId="176" fontId="3" fillId="0" borderId="25" xfId="0" applyNumberFormat="1" applyFont="1" applyBorder="1" applyAlignment="1" applyProtection="1">
      <alignment horizontal="center" vertical="center" shrinkToFit="1"/>
    </xf>
    <xf numFmtId="0" fontId="3" fillId="0" borderId="26" xfId="0" applyFont="1" applyBorder="1" applyAlignment="1" applyProtection="1">
      <alignment vertical="center" shrinkToFit="1"/>
    </xf>
    <xf numFmtId="0" fontId="3" fillId="0" borderId="27" xfId="0" applyFont="1" applyBorder="1" applyAlignment="1" applyProtection="1">
      <alignment vertical="center" shrinkToFit="1"/>
    </xf>
    <xf numFmtId="0" fontId="3" fillId="0" borderId="28" xfId="0" applyFont="1" applyBorder="1" applyAlignment="1" applyProtection="1">
      <alignment vertical="center" shrinkToFit="1"/>
    </xf>
    <xf numFmtId="176" fontId="3" fillId="0" borderId="0" xfId="0" applyNumberFormat="1" applyFont="1" applyAlignment="1" applyProtection="1">
      <alignment horizontal="center" vertical="center" shrinkToFit="1"/>
    </xf>
    <xf numFmtId="0" fontId="22" fillId="0" borderId="0" xfId="0" applyFont="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xf>
    <xf numFmtId="177" fontId="3" fillId="0" borderId="17" xfId="0" applyNumberFormat="1"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3" fillId="0" borderId="34" xfId="0" applyFont="1" applyBorder="1" applyAlignment="1" applyProtection="1">
      <alignment horizontal="center" vertical="center" shrinkToFit="1"/>
    </xf>
    <xf numFmtId="0" fontId="3" fillId="0" borderId="34" xfId="0" applyFont="1" applyBorder="1" applyAlignment="1" applyProtection="1">
      <alignment vertical="center" shrinkToFit="1"/>
    </xf>
    <xf numFmtId="0" fontId="3" fillId="0" borderId="35" xfId="0" applyFont="1" applyBorder="1" applyAlignment="1" applyProtection="1">
      <alignment horizontal="center" vertical="center" shrinkToFit="1"/>
    </xf>
    <xf numFmtId="38" fontId="3" fillId="0" borderId="40" xfId="33" applyFont="1" applyBorder="1" applyAlignment="1" applyProtection="1">
      <alignment horizontal="center" vertical="center" shrinkToFit="1"/>
    </xf>
    <xf numFmtId="0" fontId="3" fillId="0" borderId="36"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21" xfId="0" applyFont="1" applyBorder="1" applyAlignment="1" applyProtection="1">
      <alignment vertical="center" shrinkToFit="1"/>
    </xf>
    <xf numFmtId="0" fontId="3" fillId="0" borderId="37"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27"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38" xfId="0" applyFont="1" applyBorder="1" applyAlignment="1" applyProtection="1">
      <alignment horizontal="center" vertical="center" shrinkToFit="1"/>
    </xf>
    <xf numFmtId="0" fontId="3" fillId="0" borderId="19" xfId="0" applyFont="1" applyBorder="1" applyAlignment="1" applyProtection="1">
      <alignment horizontal="center" vertical="center" shrinkToFit="1"/>
    </xf>
    <xf numFmtId="0" fontId="3" fillId="0" borderId="19" xfId="0" applyFont="1" applyBorder="1" applyAlignment="1" applyProtection="1">
      <alignment vertical="center" shrinkToFit="1"/>
    </xf>
    <xf numFmtId="0" fontId="3" fillId="0" borderId="53" xfId="0" applyFont="1" applyBorder="1" applyAlignment="1" applyProtection="1">
      <alignment horizontal="center" vertical="center" shrinkToFit="1"/>
    </xf>
    <xf numFmtId="0" fontId="3" fillId="0" borderId="48" xfId="0" applyFont="1" applyBorder="1" applyAlignment="1" applyProtection="1">
      <alignment horizontal="center" vertical="center" shrinkToFit="1"/>
    </xf>
    <xf numFmtId="0" fontId="3" fillId="0" borderId="39" xfId="0" applyFont="1" applyBorder="1" applyProtection="1">
      <alignment vertical="center"/>
    </xf>
    <xf numFmtId="0" fontId="3" fillId="0" borderId="39" xfId="0" applyFont="1" applyBorder="1" applyAlignment="1" applyProtection="1">
      <alignment vertical="center" shrinkToFit="1"/>
    </xf>
    <xf numFmtId="177" fontId="3" fillId="0" borderId="34" xfId="0" applyNumberFormat="1" applyFont="1" applyBorder="1" applyAlignment="1" applyProtection="1">
      <alignment horizontal="center" vertical="center" shrinkToFit="1"/>
    </xf>
    <xf numFmtId="0" fontId="3" fillId="0" borderId="40" xfId="0" applyFont="1" applyBorder="1" applyAlignment="1" applyProtection="1">
      <alignment horizontal="center" vertical="center" shrinkToFit="1"/>
    </xf>
    <xf numFmtId="0" fontId="3" fillId="0" borderId="41" xfId="0" applyFont="1" applyBorder="1" applyAlignment="1" applyProtection="1">
      <alignment horizontal="center" vertical="center" shrinkToFit="1"/>
    </xf>
    <xf numFmtId="177" fontId="3" fillId="0" borderId="21" xfId="0" applyNumberFormat="1" applyFont="1" applyBorder="1" applyAlignment="1" applyProtection="1">
      <alignment horizontal="center" vertical="center" shrinkToFit="1"/>
    </xf>
    <xf numFmtId="0" fontId="3" fillId="0" borderId="42" xfId="0" applyFont="1" applyBorder="1" applyAlignment="1" applyProtection="1">
      <alignment horizontal="center" vertical="center" shrinkToFit="1"/>
    </xf>
    <xf numFmtId="0" fontId="3" fillId="0" borderId="29" xfId="0" applyFont="1" applyBorder="1" applyAlignment="1" applyProtection="1">
      <alignment horizontal="center" vertical="center" shrinkToFit="1"/>
    </xf>
    <xf numFmtId="0" fontId="3" fillId="0" borderId="43" xfId="0" applyFont="1" applyBorder="1" applyAlignment="1" applyProtection="1">
      <alignment horizontal="center" vertical="center" shrinkToFit="1"/>
    </xf>
    <xf numFmtId="177" fontId="3" fillId="0" borderId="64" xfId="0" applyNumberFormat="1" applyFont="1" applyBorder="1" applyAlignment="1" applyProtection="1">
      <alignment horizontal="center" vertical="center" shrinkToFit="1"/>
    </xf>
    <xf numFmtId="0" fontId="3" fillId="0" borderId="44" xfId="0" applyFont="1" applyBorder="1" applyAlignment="1" applyProtection="1">
      <alignment horizontal="center" vertical="center" shrinkToFit="1"/>
    </xf>
    <xf numFmtId="0" fontId="3" fillId="0" borderId="44" xfId="0" applyFont="1" applyBorder="1" applyAlignment="1" applyProtection="1">
      <alignment vertical="center" shrinkToFit="1"/>
    </xf>
    <xf numFmtId="0" fontId="3" fillId="0" borderId="45" xfId="0" applyFont="1" applyBorder="1" applyAlignment="1" applyProtection="1">
      <alignment horizontal="center" vertical="center" shrinkToFit="1"/>
    </xf>
    <xf numFmtId="0" fontId="3" fillId="0" borderId="46" xfId="0" applyFont="1" applyBorder="1" applyAlignment="1" applyProtection="1">
      <alignment horizontal="center" vertical="center" shrinkToFit="1"/>
    </xf>
    <xf numFmtId="0" fontId="3" fillId="0" borderId="47"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3" fillId="0" borderId="23" xfId="0" applyFont="1" applyBorder="1" applyAlignment="1" applyProtection="1">
      <alignment vertical="center" shrinkToFit="1"/>
    </xf>
    <xf numFmtId="0" fontId="3" fillId="0" borderId="49" xfId="0" applyFont="1" applyBorder="1" applyAlignment="1" applyProtection="1">
      <alignment horizontal="center" vertical="center" shrinkToFit="1"/>
    </xf>
    <xf numFmtId="0" fontId="3" fillId="0" borderId="50" xfId="0" applyFont="1" applyBorder="1" applyAlignment="1" applyProtection="1">
      <alignment horizontal="center" vertical="center" shrinkToFit="1"/>
    </xf>
    <xf numFmtId="0" fontId="3" fillId="0" borderId="51" xfId="0" applyFont="1" applyBorder="1" applyAlignment="1" applyProtection="1">
      <alignment horizontal="center" vertical="center" shrinkToFit="1"/>
    </xf>
    <xf numFmtId="0" fontId="3" fillId="0" borderId="52" xfId="0" applyFont="1" applyBorder="1" applyAlignment="1" applyProtection="1">
      <alignment horizontal="center" vertical="center" shrinkToFit="1"/>
    </xf>
    <xf numFmtId="177" fontId="3" fillId="0" borderId="44" xfId="0" applyNumberFormat="1" applyFont="1" applyBorder="1" applyAlignment="1" applyProtection="1">
      <alignment horizontal="center" vertical="center" shrinkToFit="1"/>
    </xf>
    <xf numFmtId="177" fontId="40" fillId="0" borderId="34" xfId="0" applyNumberFormat="1" applyFont="1" applyFill="1" applyBorder="1" applyAlignment="1" applyProtection="1">
      <alignment horizontal="center" vertical="center" shrinkToFit="1"/>
    </xf>
    <xf numFmtId="177" fontId="40" fillId="0" borderId="21" xfId="0" applyNumberFormat="1" applyFont="1" applyFill="1" applyBorder="1" applyAlignment="1" applyProtection="1">
      <alignment horizontal="center" vertical="center" shrinkToFit="1"/>
    </xf>
    <xf numFmtId="177" fontId="40" fillId="0" borderId="23" xfId="0" applyNumberFormat="1" applyFont="1" applyFill="1" applyBorder="1" applyAlignment="1" applyProtection="1">
      <alignment horizontal="center" vertical="center" shrinkToFit="1"/>
    </xf>
    <xf numFmtId="0" fontId="40" fillId="0" borderId="0" xfId="0" applyFont="1" applyAlignment="1" applyProtection="1">
      <alignment horizontal="center" vertical="center" shrinkToFit="1"/>
    </xf>
    <xf numFmtId="0" fontId="40" fillId="0" borderId="0" xfId="0" applyFont="1" applyAlignment="1" applyProtection="1">
      <alignment vertical="center" shrinkToFit="1"/>
    </xf>
    <xf numFmtId="0" fontId="40" fillId="0" borderId="30" xfId="0" applyFont="1" applyBorder="1" applyAlignment="1" applyProtection="1">
      <alignment horizontal="center" vertical="center" shrinkToFit="1"/>
    </xf>
    <xf numFmtId="0" fontId="41" fillId="0" borderId="30" xfId="0" applyFont="1" applyBorder="1" applyAlignment="1" applyProtection="1">
      <alignment horizontal="center" vertical="center" shrinkToFit="1"/>
    </xf>
    <xf numFmtId="0" fontId="41" fillId="0" borderId="0" xfId="0" applyFont="1" applyAlignment="1" applyProtection="1">
      <alignment horizontal="center" vertical="center" shrinkToFit="1"/>
    </xf>
    <xf numFmtId="0" fontId="40" fillId="0" borderId="0" xfId="0" applyFont="1" applyProtection="1">
      <alignment vertical="center"/>
    </xf>
    <xf numFmtId="0" fontId="40" fillId="0" borderId="16" xfId="0" applyFont="1" applyBorder="1" applyAlignment="1" applyProtection="1">
      <alignment horizontal="center" vertical="center" shrinkToFit="1"/>
    </xf>
    <xf numFmtId="0" fontId="40" fillId="0" borderId="31" xfId="0" applyFont="1" applyBorder="1" applyAlignment="1" applyProtection="1">
      <alignment horizontal="center" vertical="center" shrinkToFit="1"/>
    </xf>
    <xf numFmtId="177" fontId="40" fillId="0" borderId="17" xfId="0" applyNumberFormat="1" applyFont="1" applyBorder="1" applyAlignment="1" applyProtection="1">
      <alignment horizontal="center" vertical="center" shrinkToFit="1"/>
    </xf>
    <xf numFmtId="0" fontId="40" fillId="0" borderId="32" xfId="0" applyFont="1" applyBorder="1" applyAlignment="1" applyProtection="1">
      <alignment horizontal="center" vertical="center" shrinkToFit="1"/>
    </xf>
    <xf numFmtId="0" fontId="40" fillId="0" borderId="17" xfId="0" applyFont="1" applyBorder="1" applyAlignment="1" applyProtection="1">
      <alignment horizontal="center" vertical="center" shrinkToFit="1"/>
    </xf>
    <xf numFmtId="0" fontId="40" fillId="0" borderId="18" xfId="0" applyFont="1" applyBorder="1" applyAlignment="1" applyProtection="1">
      <alignment horizontal="center" vertical="center" shrinkToFit="1"/>
    </xf>
    <xf numFmtId="0" fontId="40" fillId="0" borderId="11" xfId="0" applyFont="1" applyBorder="1" applyAlignment="1" applyProtection="1">
      <alignment horizontal="center" vertical="center" shrinkToFit="1"/>
    </xf>
    <xf numFmtId="0" fontId="40" fillId="0" borderId="33" xfId="0" applyFont="1" applyBorder="1" applyAlignment="1" applyProtection="1">
      <alignment horizontal="center" vertical="center" shrinkToFit="1"/>
    </xf>
    <xf numFmtId="0" fontId="40" fillId="0" borderId="35" xfId="0" applyFont="1" applyBorder="1" applyAlignment="1" applyProtection="1">
      <alignment horizontal="center" vertical="center" shrinkToFit="1"/>
    </xf>
    <xf numFmtId="0" fontId="40" fillId="0" borderId="57" xfId="0" applyFont="1" applyBorder="1" applyAlignment="1" applyProtection="1">
      <alignment horizontal="center" vertical="center" shrinkToFit="1"/>
    </xf>
    <xf numFmtId="0" fontId="40" fillId="0" borderId="34" xfId="0" applyFont="1" applyBorder="1" applyAlignment="1" applyProtection="1">
      <alignment vertical="center" shrinkToFit="1"/>
    </xf>
    <xf numFmtId="0" fontId="40" fillId="0" borderId="40" xfId="0" applyFont="1" applyBorder="1" applyAlignment="1" applyProtection="1">
      <alignment horizontal="center" vertical="center" shrinkToFit="1"/>
    </xf>
    <xf numFmtId="0" fontId="40" fillId="0" borderId="36" xfId="0" applyFont="1" applyBorder="1" applyAlignment="1" applyProtection="1">
      <alignment horizontal="center" vertical="center" shrinkToFit="1"/>
    </xf>
    <xf numFmtId="0" fontId="40" fillId="0" borderId="13" xfId="0" applyFont="1" applyBorder="1" applyAlignment="1" applyProtection="1">
      <alignment horizontal="center" vertical="center" shrinkToFit="1"/>
    </xf>
    <xf numFmtId="0" fontId="40" fillId="0" borderId="37" xfId="0" applyFont="1" applyBorder="1" applyAlignment="1" applyProtection="1">
      <alignment horizontal="center" vertical="center" shrinkToFit="1"/>
    </xf>
    <xf numFmtId="0" fontId="40" fillId="0" borderId="58" xfId="0" applyFont="1" applyBorder="1" applyAlignment="1" applyProtection="1">
      <alignment horizontal="center" vertical="center" shrinkToFit="1"/>
    </xf>
    <xf numFmtId="0" fontId="40" fillId="0" borderId="21" xfId="0" applyFont="1" applyBorder="1" applyAlignment="1" applyProtection="1">
      <alignment vertical="center" shrinkToFit="1"/>
    </xf>
    <xf numFmtId="0" fontId="40" fillId="0" borderId="22" xfId="0" applyFont="1" applyBorder="1" applyAlignment="1" applyProtection="1">
      <alignment horizontal="center" vertical="center" shrinkToFit="1"/>
    </xf>
    <xf numFmtId="0" fontId="40" fillId="0" borderId="27" xfId="0" applyFont="1" applyBorder="1" applyAlignment="1" applyProtection="1">
      <alignment horizontal="center" vertical="center" shrinkToFit="1"/>
    </xf>
    <xf numFmtId="0" fontId="40" fillId="0" borderId="61" xfId="0" applyFont="1" applyBorder="1" applyAlignment="1" applyProtection="1">
      <alignment horizontal="center" vertical="center" shrinkToFit="1"/>
    </xf>
    <xf numFmtId="0" fontId="40" fillId="0" borderId="62" xfId="0" applyFont="1" applyBorder="1" applyAlignment="1" applyProtection="1">
      <alignment horizontal="center" vertical="center" shrinkToFit="1"/>
    </xf>
    <xf numFmtId="0" fontId="40" fillId="0" borderId="63" xfId="0" applyFont="1" applyBorder="1" applyAlignment="1" applyProtection="1">
      <alignment horizontal="center" vertical="center" shrinkToFit="1"/>
    </xf>
    <xf numFmtId="0" fontId="40" fillId="0" borderId="64" xfId="0" applyFont="1" applyBorder="1" applyAlignment="1" applyProtection="1">
      <alignment vertical="center" shrinkToFit="1"/>
    </xf>
    <xf numFmtId="0" fontId="40" fillId="0" borderId="53" xfId="0" applyFont="1" applyBorder="1" applyAlignment="1" applyProtection="1">
      <alignment horizontal="center" vertical="center" shrinkToFit="1"/>
    </xf>
    <xf numFmtId="177" fontId="40" fillId="0" borderId="34" xfId="0" applyNumberFormat="1" applyFont="1" applyBorder="1" applyAlignment="1" applyProtection="1">
      <alignment horizontal="center" vertical="center" shrinkToFit="1"/>
    </xf>
    <xf numFmtId="177" fontId="40" fillId="0" borderId="34" xfId="0" applyNumberFormat="1" applyFont="1" applyBorder="1" applyAlignment="1" applyProtection="1">
      <alignment vertical="center" shrinkToFit="1"/>
    </xf>
    <xf numFmtId="0" fontId="40" fillId="0" borderId="55" xfId="0" applyFont="1" applyBorder="1" applyAlignment="1" applyProtection="1">
      <alignment horizontal="center" vertical="center" shrinkToFit="1"/>
    </xf>
    <xf numFmtId="0" fontId="40" fillId="0" borderId="48" xfId="0" applyFont="1" applyBorder="1" applyAlignment="1" applyProtection="1">
      <alignment horizontal="center" vertical="center" shrinkToFit="1"/>
    </xf>
    <xf numFmtId="0" fontId="40" fillId="0" borderId="14" xfId="0" applyFont="1" applyBorder="1" applyAlignment="1" applyProtection="1">
      <alignment horizontal="center" vertical="center" shrinkToFit="1"/>
    </xf>
    <xf numFmtId="0" fontId="40" fillId="0" borderId="54" xfId="0" applyFont="1" applyBorder="1" applyAlignment="1" applyProtection="1">
      <alignment horizontal="center" vertical="center" shrinkToFit="1"/>
    </xf>
    <xf numFmtId="177" fontId="40" fillId="0" borderId="23" xfId="0" applyNumberFormat="1" applyFont="1" applyBorder="1" applyAlignment="1" applyProtection="1">
      <alignment horizontal="center" vertical="center" shrinkToFit="1"/>
    </xf>
    <xf numFmtId="0" fontId="40" fillId="0" borderId="59" xfId="0" applyFont="1" applyBorder="1" applyAlignment="1" applyProtection="1">
      <alignment horizontal="center" vertical="center" shrinkToFit="1"/>
    </xf>
    <xf numFmtId="177" fontId="40" fillId="0" borderId="23" xfId="0" applyNumberFormat="1" applyFont="1" applyBorder="1" applyAlignment="1" applyProtection="1">
      <alignment vertical="center" shrinkToFit="1"/>
    </xf>
    <xf numFmtId="0" fontId="40" fillId="0" borderId="24" xfId="0" applyFont="1" applyBorder="1" applyAlignment="1" applyProtection="1">
      <alignment horizontal="center" vertical="center" shrinkToFit="1"/>
    </xf>
    <xf numFmtId="0" fontId="40" fillId="0" borderId="56" xfId="0" applyFont="1" applyBorder="1" applyAlignment="1" applyProtection="1">
      <alignment horizontal="center" vertical="center" shrinkToFit="1"/>
    </xf>
    <xf numFmtId="0" fontId="40" fillId="0" borderId="39" xfId="0" applyFont="1" applyBorder="1" applyProtection="1">
      <alignment vertical="center"/>
    </xf>
    <xf numFmtId="0" fontId="40" fillId="0" borderId="39" xfId="0" applyFont="1" applyBorder="1" applyAlignment="1" applyProtection="1">
      <alignment vertical="center" shrinkToFit="1"/>
    </xf>
    <xf numFmtId="0" fontId="40" fillId="0" borderId="34" xfId="0" applyFont="1" applyBorder="1" applyAlignment="1" applyProtection="1">
      <alignment horizontal="center" vertical="center" shrinkToFit="1"/>
    </xf>
    <xf numFmtId="0" fontId="40" fillId="0" borderId="21" xfId="0" applyFont="1" applyBorder="1" applyAlignment="1" applyProtection="1">
      <alignment horizontal="center" vertical="center" shrinkToFit="1"/>
    </xf>
    <xf numFmtId="0" fontId="40" fillId="0" borderId="23" xfId="0" applyFont="1" applyBorder="1" applyAlignment="1" applyProtection="1">
      <alignment horizontal="center" vertical="center" shrinkToFit="1"/>
    </xf>
    <xf numFmtId="0" fontId="40" fillId="0" borderId="23" xfId="0" applyFont="1" applyBorder="1" applyAlignment="1" applyProtection="1">
      <alignment vertical="center" shrinkToFit="1"/>
    </xf>
    <xf numFmtId="0" fontId="3" fillId="0" borderId="0" xfId="0" applyFont="1" applyAlignment="1" applyProtection="1">
      <alignment horizontal="right" vertical="center" shrinkToFit="1"/>
    </xf>
    <xf numFmtId="0" fontId="0" fillId="0" borderId="0" xfId="0" applyProtection="1">
      <alignment vertical="center"/>
    </xf>
    <xf numFmtId="0" fontId="40" fillId="0" borderId="0" xfId="0" applyFont="1" applyFill="1" applyAlignment="1" applyProtection="1">
      <alignment vertical="center" shrinkToFit="1"/>
    </xf>
    <xf numFmtId="0" fontId="40" fillId="0" borderId="0" xfId="0" applyFont="1" applyFill="1" applyAlignment="1" applyProtection="1">
      <alignment horizontal="center" vertical="center" shrinkToFit="1"/>
    </xf>
    <xf numFmtId="0" fontId="40" fillId="0" borderId="30" xfId="0" applyFont="1" applyFill="1" applyBorder="1" applyAlignment="1" applyProtection="1">
      <alignment horizontal="center" vertical="center" shrinkToFit="1"/>
    </xf>
    <xf numFmtId="0" fontId="41" fillId="0" borderId="30" xfId="0" applyFont="1" applyFill="1" applyBorder="1" applyAlignment="1" applyProtection="1">
      <alignment horizontal="center" vertical="center" shrinkToFit="1"/>
    </xf>
    <xf numFmtId="0" fontId="41" fillId="0" borderId="0" xfId="0" applyFont="1" applyFill="1" applyAlignment="1" applyProtection="1">
      <alignment horizontal="center" vertical="center" shrinkToFit="1"/>
    </xf>
    <xf numFmtId="0" fontId="40" fillId="0" borderId="26" xfId="0" applyFont="1" applyFill="1" applyBorder="1" applyAlignment="1" applyProtection="1">
      <alignment horizontal="center" vertical="center" shrinkToFit="1"/>
    </xf>
    <xf numFmtId="0" fontId="40" fillId="0" borderId="0" xfId="0" applyFont="1" applyFill="1" applyProtection="1">
      <alignment vertical="center"/>
    </xf>
    <xf numFmtId="0" fontId="40" fillId="0" borderId="16" xfId="0" applyFont="1" applyFill="1" applyBorder="1" applyAlignment="1" applyProtection="1">
      <alignment horizontal="center" vertical="center" shrinkToFit="1"/>
    </xf>
    <xf numFmtId="0" fontId="40" fillId="0" borderId="31" xfId="0" applyFont="1" applyFill="1" applyBorder="1" applyAlignment="1" applyProtection="1">
      <alignment horizontal="center" vertical="center" shrinkToFit="1"/>
    </xf>
    <xf numFmtId="177" fontId="40" fillId="0" borderId="17" xfId="0" applyNumberFormat="1" applyFont="1" applyFill="1" applyBorder="1" applyAlignment="1" applyProtection="1">
      <alignment horizontal="center" vertical="center" shrinkToFit="1"/>
    </xf>
    <xf numFmtId="0" fontId="40" fillId="0" borderId="32" xfId="0" applyFont="1" applyFill="1" applyBorder="1" applyAlignment="1" applyProtection="1">
      <alignment horizontal="center" vertical="center" shrinkToFit="1"/>
    </xf>
    <xf numFmtId="0" fontId="40" fillId="0" borderId="17" xfId="0" applyFont="1" applyFill="1" applyBorder="1" applyAlignment="1" applyProtection="1">
      <alignment horizontal="center" vertical="center" shrinkToFit="1"/>
    </xf>
    <xf numFmtId="0" fontId="40" fillId="0" borderId="18" xfId="0" applyFont="1" applyFill="1" applyBorder="1" applyAlignment="1" applyProtection="1">
      <alignment horizontal="center" vertical="center" shrinkToFit="1"/>
    </xf>
    <xf numFmtId="0" fontId="40" fillId="0" borderId="11" xfId="0" applyFont="1" applyFill="1" applyBorder="1" applyAlignment="1" applyProtection="1">
      <alignment horizontal="center" vertical="center" shrinkToFit="1"/>
    </xf>
    <xf numFmtId="0" fontId="40" fillId="0" borderId="33" xfId="0" applyFont="1" applyFill="1" applyBorder="1" applyAlignment="1" applyProtection="1">
      <alignment horizontal="center" vertical="center" shrinkToFit="1"/>
    </xf>
    <xf numFmtId="0" fontId="40" fillId="0" borderId="35" xfId="0" applyFont="1" applyFill="1" applyBorder="1" applyAlignment="1" applyProtection="1">
      <alignment horizontal="center" vertical="center" shrinkToFit="1"/>
    </xf>
    <xf numFmtId="0" fontId="40" fillId="0" borderId="57" xfId="0" applyFont="1" applyFill="1" applyBorder="1" applyAlignment="1" applyProtection="1">
      <alignment horizontal="center" vertical="center" shrinkToFit="1"/>
    </xf>
    <xf numFmtId="0" fontId="40" fillId="0" borderId="34" xfId="0" applyFont="1" applyFill="1" applyBorder="1" applyAlignment="1" applyProtection="1">
      <alignment vertical="center" shrinkToFit="1"/>
    </xf>
    <xf numFmtId="0" fontId="40" fillId="0" borderId="40" xfId="0" applyFont="1" applyFill="1" applyBorder="1" applyAlignment="1" applyProtection="1">
      <alignment horizontal="center" vertical="center" shrinkToFit="1"/>
    </xf>
    <xf numFmtId="0" fontId="40" fillId="0" borderId="36" xfId="0" applyFont="1" applyFill="1" applyBorder="1" applyAlignment="1" applyProtection="1">
      <alignment horizontal="center" vertical="center" shrinkToFit="1"/>
    </xf>
    <xf numFmtId="0" fontId="40" fillId="0" borderId="13" xfId="0" applyFont="1" applyFill="1" applyBorder="1" applyAlignment="1" applyProtection="1">
      <alignment horizontal="center" vertical="center" shrinkToFit="1"/>
    </xf>
    <xf numFmtId="0" fontId="40" fillId="0" borderId="37" xfId="0" applyFont="1" applyFill="1" applyBorder="1" applyAlignment="1" applyProtection="1">
      <alignment horizontal="center" vertical="center" shrinkToFit="1"/>
    </xf>
    <xf numFmtId="0" fontId="40" fillId="0" borderId="58" xfId="0" applyFont="1" applyFill="1" applyBorder="1" applyAlignment="1" applyProtection="1">
      <alignment horizontal="center" vertical="center" shrinkToFit="1"/>
    </xf>
    <xf numFmtId="0" fontId="40" fillId="0" borderId="21" xfId="0" applyFont="1" applyFill="1" applyBorder="1" applyAlignment="1" applyProtection="1">
      <alignment vertical="center" shrinkToFit="1"/>
    </xf>
    <xf numFmtId="0" fontId="40" fillId="0" borderId="22" xfId="0" applyFont="1" applyFill="1" applyBorder="1" applyAlignment="1" applyProtection="1">
      <alignment horizontal="center" vertical="center" shrinkToFit="1"/>
    </xf>
    <xf numFmtId="0" fontId="40" fillId="0" borderId="27" xfId="0" applyFont="1" applyFill="1" applyBorder="1" applyAlignment="1" applyProtection="1">
      <alignment horizontal="center" vertical="center" shrinkToFit="1"/>
    </xf>
    <xf numFmtId="0" fontId="40" fillId="0" borderId="61" xfId="0" applyFont="1" applyFill="1" applyBorder="1" applyAlignment="1" applyProtection="1">
      <alignment horizontal="center" vertical="center" shrinkToFit="1"/>
    </xf>
    <xf numFmtId="0" fontId="40" fillId="0" borderId="62" xfId="0" applyFont="1" applyFill="1" applyBorder="1" applyAlignment="1" applyProtection="1">
      <alignment horizontal="center" vertical="center" shrinkToFit="1"/>
    </xf>
    <xf numFmtId="177" fontId="40" fillId="0" borderId="64" xfId="0" applyNumberFormat="1" applyFont="1" applyFill="1" applyBorder="1" applyAlignment="1" applyProtection="1">
      <alignment horizontal="center" vertical="center" shrinkToFit="1"/>
    </xf>
    <xf numFmtId="0" fontId="40" fillId="0" borderId="63" xfId="0" applyFont="1" applyFill="1" applyBorder="1" applyAlignment="1" applyProtection="1">
      <alignment horizontal="center" vertical="center" shrinkToFit="1"/>
    </xf>
    <xf numFmtId="0" fontId="40" fillId="0" borderId="64" xfId="0" applyFont="1" applyFill="1" applyBorder="1" applyAlignment="1" applyProtection="1">
      <alignment vertical="center" shrinkToFit="1"/>
    </xf>
    <xf numFmtId="0" fontId="40" fillId="0" borderId="53" xfId="0" applyFont="1" applyFill="1" applyBorder="1" applyAlignment="1" applyProtection="1">
      <alignment horizontal="center" vertical="center" shrinkToFit="1"/>
    </xf>
    <xf numFmtId="177" fontId="40" fillId="0" borderId="34" xfId="0" applyNumberFormat="1" applyFont="1" applyFill="1" applyBorder="1" applyAlignment="1" applyProtection="1">
      <alignment vertical="center" shrinkToFit="1"/>
    </xf>
    <xf numFmtId="0" fontId="40" fillId="0" borderId="55" xfId="0" applyFont="1" applyFill="1" applyBorder="1" applyAlignment="1" applyProtection="1">
      <alignment horizontal="center" vertical="center" shrinkToFit="1"/>
    </xf>
    <xf numFmtId="0" fontId="40" fillId="0" borderId="48" xfId="0" applyFont="1" applyFill="1" applyBorder="1" applyAlignment="1" applyProtection="1">
      <alignment horizontal="center" vertical="center" shrinkToFit="1"/>
    </xf>
    <xf numFmtId="0" fontId="40" fillId="0" borderId="14" xfId="0" applyFont="1" applyFill="1" applyBorder="1" applyAlignment="1" applyProtection="1">
      <alignment horizontal="center" vertical="center" shrinkToFit="1"/>
    </xf>
    <xf numFmtId="0" fontId="40" fillId="0" borderId="54" xfId="0" applyFont="1" applyFill="1" applyBorder="1" applyAlignment="1" applyProtection="1">
      <alignment horizontal="center" vertical="center" shrinkToFit="1"/>
    </xf>
    <xf numFmtId="0" fontId="40" fillId="0" borderId="59" xfId="0" applyFont="1" applyFill="1" applyBorder="1" applyAlignment="1" applyProtection="1">
      <alignment horizontal="center" vertical="center" shrinkToFit="1"/>
    </xf>
    <xf numFmtId="177" fontId="40" fillId="0" borderId="23" xfId="0" applyNumberFormat="1" applyFont="1" applyFill="1" applyBorder="1" applyAlignment="1" applyProtection="1">
      <alignment vertical="center" shrinkToFit="1"/>
    </xf>
    <xf numFmtId="0" fontId="40" fillId="0" borderId="24" xfId="0" applyFont="1" applyFill="1" applyBorder="1" applyAlignment="1" applyProtection="1">
      <alignment horizontal="center" vertical="center" shrinkToFit="1"/>
    </xf>
    <xf numFmtId="0" fontId="40" fillId="0" borderId="56" xfId="0" applyFont="1" applyFill="1" applyBorder="1" applyAlignment="1" applyProtection="1">
      <alignment horizontal="center" vertical="center" shrinkToFit="1"/>
    </xf>
    <xf numFmtId="0" fontId="40" fillId="0" borderId="39" xfId="0" applyFont="1" applyFill="1" applyBorder="1" applyProtection="1">
      <alignment vertical="center"/>
    </xf>
    <xf numFmtId="0" fontId="40" fillId="0" borderId="39" xfId="0" applyFont="1" applyFill="1" applyBorder="1" applyAlignment="1" applyProtection="1">
      <alignment vertical="center" shrinkToFit="1"/>
    </xf>
    <xf numFmtId="0" fontId="40" fillId="0" borderId="34" xfId="0" applyFont="1" applyFill="1" applyBorder="1" applyAlignment="1" applyProtection="1">
      <alignment horizontal="center" vertical="center" shrinkToFit="1"/>
    </xf>
    <xf numFmtId="0" fontId="40" fillId="0" borderId="21" xfId="0" applyFont="1" applyFill="1" applyBorder="1" applyAlignment="1" applyProtection="1">
      <alignment horizontal="center" vertical="center" shrinkToFit="1"/>
    </xf>
    <xf numFmtId="0" fontId="40" fillId="0" borderId="23" xfId="0" applyFont="1" applyFill="1" applyBorder="1" applyAlignment="1" applyProtection="1">
      <alignment horizontal="center" vertical="center" shrinkToFit="1"/>
    </xf>
    <xf numFmtId="0" fontId="40" fillId="0" borderId="23" xfId="0" applyFont="1" applyFill="1" applyBorder="1" applyAlignment="1" applyProtection="1">
      <alignment vertical="center" shrinkToFit="1"/>
    </xf>
    <xf numFmtId="0" fontId="3" fillId="0" borderId="0" xfId="0" applyFont="1" applyFill="1" applyAlignment="1" applyProtection="1">
      <alignment vertical="center" shrinkToFit="1"/>
    </xf>
    <xf numFmtId="0" fontId="3" fillId="0" borderId="0" xfId="0" applyFont="1" applyFill="1" applyAlignment="1" applyProtection="1">
      <alignment horizontal="right" vertical="center" shrinkToFit="1"/>
    </xf>
    <xf numFmtId="0" fontId="3" fillId="0" borderId="0" xfId="0" applyFont="1" applyFill="1" applyAlignment="1" applyProtection="1">
      <alignment horizontal="center" vertical="center" shrinkToFit="1"/>
    </xf>
    <xf numFmtId="0" fontId="3" fillId="28" borderId="30" xfId="0" applyFont="1" applyFill="1" applyBorder="1" applyAlignment="1" applyProtection="1">
      <alignment horizontal="right" vertical="center" shrinkToFit="1"/>
      <protection locked="0"/>
    </xf>
    <xf numFmtId="0" fontId="40" fillId="0" borderId="65" xfId="0" applyFont="1" applyBorder="1" applyAlignment="1" applyProtection="1">
      <alignment horizontal="center" vertical="center" shrinkToFit="1"/>
    </xf>
    <xf numFmtId="0" fontId="40" fillId="0" borderId="0" xfId="0" applyFont="1" applyFill="1" applyBorder="1" applyAlignment="1" applyProtection="1">
      <alignment horizontal="center" vertical="center" shrinkToFit="1"/>
    </xf>
    <xf numFmtId="177" fontId="40" fillId="0" borderId="0" xfId="0" applyNumberFormat="1" applyFont="1" applyFill="1" applyBorder="1" applyAlignment="1" applyProtection="1">
      <alignment horizontal="center" vertical="center" shrinkToFit="1"/>
    </xf>
    <xf numFmtId="177" fontId="40" fillId="0" borderId="0" xfId="0" applyNumberFormat="1" applyFont="1" applyFill="1" applyBorder="1" applyAlignment="1" applyProtection="1">
      <alignment vertical="center" shrinkToFit="1"/>
    </xf>
    <xf numFmtId="0" fontId="40" fillId="0" borderId="0" xfId="0" applyFont="1" applyFill="1" applyBorder="1" applyAlignment="1" applyProtection="1">
      <alignment vertical="center" shrinkToFit="1"/>
    </xf>
    <xf numFmtId="0" fontId="40" fillId="0" borderId="0" xfId="0" applyFont="1" applyFill="1" applyBorder="1" applyProtection="1">
      <alignment vertical="center"/>
    </xf>
    <xf numFmtId="0" fontId="41" fillId="0" borderId="0" xfId="0" applyFont="1" applyFill="1" applyBorder="1" applyAlignment="1" applyProtection="1">
      <alignment horizontal="center" vertical="center" shrinkToFit="1"/>
    </xf>
    <xf numFmtId="0" fontId="3" fillId="0" borderId="30" xfId="0" applyFont="1" applyFill="1" applyBorder="1" applyAlignment="1" applyProtection="1">
      <alignment horizontal="right" vertical="center" shrinkToFit="1"/>
    </xf>
    <xf numFmtId="0" fontId="0" fillId="0" borderId="0" xfId="0" applyFill="1" applyProtection="1">
      <alignment vertical="center"/>
    </xf>
    <xf numFmtId="0" fontId="44" fillId="0" borderId="0" xfId="0" applyFont="1" applyAlignment="1" applyProtection="1">
      <alignment vertical="center" shrinkToFit="1"/>
    </xf>
    <xf numFmtId="0" fontId="40" fillId="0" borderId="10" xfId="0" applyFont="1" applyBorder="1" applyAlignment="1" applyProtection="1">
      <alignment horizontal="center" vertical="center" shrinkToFit="1"/>
    </xf>
    <xf numFmtId="0" fontId="40" fillId="0" borderId="10" xfId="0" applyFont="1" applyBorder="1" applyAlignment="1" applyProtection="1">
      <alignment vertical="center" shrinkToFit="1"/>
    </xf>
    <xf numFmtId="0" fontId="3" fillId="0" borderId="30" xfId="0" applyFont="1" applyBorder="1" applyAlignment="1" applyProtection="1">
      <alignment vertical="center" shrinkToFit="1"/>
    </xf>
    <xf numFmtId="0" fontId="3" fillId="0" borderId="0" xfId="0" applyFont="1" applyAlignment="1" applyProtection="1">
      <alignment horizontal="left" vertical="center" shrinkToFit="1"/>
    </xf>
    <xf numFmtId="0" fontId="40" fillId="0" borderId="10" xfId="0" applyFont="1" applyFill="1" applyBorder="1" applyAlignment="1" applyProtection="1">
      <alignment horizontal="center" vertical="center" shrinkToFit="1"/>
    </xf>
    <xf numFmtId="0" fontId="3" fillId="0" borderId="30" xfId="0" applyFont="1" applyFill="1" applyBorder="1" applyAlignment="1" applyProtection="1">
      <alignment vertical="center" shrinkToFit="1"/>
    </xf>
    <xf numFmtId="0" fontId="3" fillId="0" borderId="0" xfId="0" applyFont="1" applyFill="1" applyAlignment="1" applyProtection="1">
      <alignment horizontal="left" vertical="center" shrinkToFit="1"/>
    </xf>
    <xf numFmtId="0" fontId="3" fillId="28" borderId="10" xfId="0" applyFont="1" applyFill="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xf>
    <xf numFmtId="0" fontId="3" fillId="0" borderId="25" xfId="0" applyFont="1" applyBorder="1" applyAlignment="1" applyProtection="1">
      <alignment horizontal="center" vertical="center" shrinkToFit="1"/>
    </xf>
    <xf numFmtId="0" fontId="3" fillId="0" borderId="75"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xf numFmtId="0" fontId="3" fillId="0" borderId="0" xfId="0" applyFont="1" applyProtection="1">
      <alignment vertical="center"/>
    </xf>
    <xf numFmtId="0" fontId="3" fillId="0" borderId="0" xfId="0" applyFont="1" applyAlignment="1" applyProtection="1">
      <alignment horizontal="center" shrinkToFit="1"/>
      <protection locked="0"/>
    </xf>
    <xf numFmtId="0" fontId="3" fillId="0" borderId="0" xfId="0" applyFont="1" applyAlignment="1" applyProtection="1">
      <alignment horizontal="center" vertical="center" shrinkToFit="1"/>
      <protection locked="0"/>
    </xf>
    <xf numFmtId="0" fontId="28" fillId="0" borderId="0" xfId="0" applyFont="1" applyAlignment="1" applyProtection="1">
      <alignment vertical="center" shrinkToFit="1"/>
    </xf>
    <xf numFmtId="179" fontId="26" fillId="0" borderId="0" xfId="0" applyNumberFormat="1" applyFont="1" applyAlignment="1" applyProtection="1">
      <alignment vertical="center" shrinkToFit="1"/>
    </xf>
    <xf numFmtId="0" fontId="28" fillId="0" borderId="0" xfId="0" applyFont="1" applyAlignment="1" applyProtection="1">
      <alignment horizontal="center" vertical="center" shrinkToFit="1"/>
    </xf>
    <xf numFmtId="179" fontId="28" fillId="0" borderId="0" xfId="0" applyNumberFormat="1" applyFont="1" applyAlignment="1" applyProtection="1">
      <alignment horizontal="center" vertical="center" shrinkToFit="1"/>
    </xf>
    <xf numFmtId="179" fontId="26" fillId="0" borderId="0" xfId="0" applyNumberFormat="1" applyFont="1" applyAlignment="1" applyProtection="1">
      <alignment horizontal="right" vertical="center" shrinkToFit="1"/>
    </xf>
    <xf numFmtId="0" fontId="26" fillId="0" borderId="0" xfId="0" applyFont="1" applyAlignment="1" applyProtection="1">
      <alignment vertical="center" shrinkToFit="1"/>
    </xf>
    <xf numFmtId="0" fontId="26" fillId="0" borderId="0" xfId="0" applyFont="1" applyAlignment="1" applyProtection="1">
      <alignment horizontal="left" vertical="center" shrinkToFit="1"/>
    </xf>
    <xf numFmtId="0" fontId="28" fillId="0" borderId="16" xfId="0" applyFont="1" applyBorder="1" applyAlignment="1" applyProtection="1">
      <alignment horizontal="center" vertical="center" shrinkToFit="1"/>
    </xf>
    <xf numFmtId="0" fontId="28" fillId="0" borderId="17" xfId="0" applyFont="1" applyBorder="1" applyAlignment="1" applyProtection="1">
      <alignment horizontal="center" vertical="center" shrinkToFit="1"/>
    </xf>
    <xf numFmtId="179" fontId="28" fillId="0" borderId="18" xfId="0" applyNumberFormat="1" applyFont="1" applyBorder="1" applyAlignment="1" applyProtection="1">
      <alignment horizontal="center" vertical="center" shrinkToFit="1"/>
    </xf>
    <xf numFmtId="0" fontId="26" fillId="0" borderId="0" xfId="0" applyFont="1" applyAlignment="1" applyProtection="1">
      <alignment horizontal="center" vertical="center" shrinkToFit="1"/>
    </xf>
    <xf numFmtId="0" fontId="28" fillId="0" borderId="15" xfId="0" applyFont="1" applyBorder="1" applyAlignment="1" applyProtection="1">
      <alignment horizontal="center" vertical="center" shrinkToFit="1"/>
    </xf>
    <xf numFmtId="0" fontId="28" fillId="0" borderId="13" xfId="0" applyFont="1" applyBorder="1" applyAlignment="1" applyProtection="1">
      <alignment horizontal="center" vertical="center" shrinkToFit="1"/>
    </xf>
    <xf numFmtId="0" fontId="26" fillId="0" borderId="10"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3" fillId="0" borderId="30" xfId="0" applyFont="1" applyBorder="1" applyAlignment="1" applyProtection="1">
      <alignment horizontal="center" vertical="center" shrinkToFit="1"/>
    </xf>
    <xf numFmtId="0" fontId="22" fillId="0" borderId="30" xfId="0" applyFont="1" applyBorder="1" applyAlignment="1" applyProtection="1">
      <alignment horizontal="center" vertical="center" shrinkToFit="1"/>
    </xf>
    <xf numFmtId="0" fontId="30" fillId="0" borderId="10" xfId="0" applyFont="1" applyBorder="1" applyAlignment="1" applyProtection="1">
      <alignment vertical="center" shrinkToFit="1"/>
    </xf>
    <xf numFmtId="0" fontId="3" fillId="0" borderId="25" xfId="0" applyFont="1" applyBorder="1" applyAlignment="1" applyProtection="1">
      <alignment horizontal="left" vertical="center" shrinkToFit="1"/>
    </xf>
    <xf numFmtId="0" fontId="3" fillId="0" borderId="26" xfId="0" applyFont="1" applyBorder="1" applyAlignment="1" applyProtection="1">
      <alignment horizontal="left" vertical="center" shrinkToFit="1"/>
    </xf>
    <xf numFmtId="180" fontId="3" fillId="30" borderId="25" xfId="0" applyNumberFormat="1" applyFont="1" applyFill="1" applyBorder="1" applyAlignment="1" applyProtection="1">
      <alignment horizontal="center" vertical="center" shrinkToFit="1"/>
    </xf>
    <xf numFmtId="180" fontId="3" fillId="30" borderId="26" xfId="0" applyNumberFormat="1" applyFont="1" applyFill="1" applyBorder="1" applyAlignment="1" applyProtection="1">
      <alignment horizontal="center" vertical="center" shrinkToFit="1"/>
    </xf>
    <xf numFmtId="180" fontId="3" fillId="0" borderId="25" xfId="0" applyNumberFormat="1" applyFont="1" applyBorder="1" applyAlignment="1" applyProtection="1">
      <alignment horizontal="center" vertical="center" shrinkToFit="1"/>
    </xf>
    <xf numFmtId="180" fontId="3" fillId="0" borderId="26" xfId="0" applyNumberFormat="1" applyFont="1" applyBorder="1" applyAlignment="1" applyProtection="1">
      <alignment horizontal="center" vertical="center" shrinkToFit="1"/>
    </xf>
    <xf numFmtId="0" fontId="21" fillId="0" borderId="0" xfId="0" applyFont="1" applyAlignment="1" applyProtection="1">
      <alignment horizontal="center" vertical="center" shrinkToFit="1"/>
    </xf>
    <xf numFmtId="0" fontId="3" fillId="0" borderId="71" xfId="0" applyFont="1" applyBorder="1" applyAlignment="1" applyProtection="1">
      <alignment horizontal="center" vertical="center" shrinkToFit="1"/>
    </xf>
    <xf numFmtId="0" fontId="3" fillId="0" borderId="57" xfId="0" applyFont="1" applyBorder="1" applyAlignment="1" applyProtection="1">
      <alignment horizontal="center" vertical="center" shrinkToFit="1"/>
    </xf>
    <xf numFmtId="0" fontId="3" fillId="0" borderId="58" xfId="0" applyFont="1" applyBorder="1" applyAlignment="1" applyProtection="1">
      <alignment horizontal="center" vertical="center" shrinkToFit="1"/>
    </xf>
    <xf numFmtId="0" fontId="3" fillId="0" borderId="59"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60"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67" xfId="0" applyFont="1" applyBorder="1" applyAlignment="1" applyProtection="1">
      <alignment horizontal="center" vertical="center" shrinkToFit="1"/>
    </xf>
    <xf numFmtId="177" fontId="3" fillId="0" borderId="31" xfId="0" applyNumberFormat="1" applyFont="1" applyBorder="1" applyAlignment="1" applyProtection="1">
      <alignment horizontal="center" vertical="center" shrinkToFit="1"/>
    </xf>
    <xf numFmtId="0" fontId="40" fillId="0" borderId="77" xfId="0" applyFont="1" applyBorder="1" applyAlignment="1" applyProtection="1">
      <alignment vertical="center" shrinkToFit="1"/>
    </xf>
    <xf numFmtId="0" fontId="40" fillId="0" borderId="0" xfId="0" applyFont="1" applyBorder="1" applyAlignment="1" applyProtection="1">
      <alignment vertical="center" shrinkToFit="1"/>
    </xf>
    <xf numFmtId="0" fontId="40" fillId="0" borderId="51" xfId="0" applyFont="1" applyBorder="1" applyAlignment="1" applyProtection="1">
      <alignment horizontal="center" vertical="center" shrinkToFit="1"/>
    </xf>
    <xf numFmtId="0" fontId="40" fillId="0" borderId="15" xfId="0" applyFont="1" applyBorder="1" applyAlignment="1" applyProtection="1">
      <alignment horizontal="center" vertical="center" shrinkToFit="1"/>
    </xf>
    <xf numFmtId="0" fontId="40" fillId="0" borderId="38" xfId="0" applyFont="1" applyBorder="1" applyAlignment="1" applyProtection="1">
      <alignment horizontal="center" vertical="center" shrinkToFit="1"/>
    </xf>
    <xf numFmtId="0" fontId="40" fillId="0" borderId="60" xfId="0" applyFont="1" applyBorder="1" applyAlignment="1" applyProtection="1">
      <alignment horizontal="center" vertical="center" shrinkToFit="1"/>
    </xf>
    <xf numFmtId="0" fontId="40" fillId="0" borderId="19" xfId="0" applyFont="1" applyBorder="1" applyAlignment="1" applyProtection="1">
      <alignment vertical="center" shrinkToFit="1"/>
    </xf>
    <xf numFmtId="0" fontId="40" fillId="0" borderId="20" xfId="0" applyFont="1" applyBorder="1" applyAlignment="1" applyProtection="1">
      <alignment horizontal="center" vertical="center" shrinkToFit="1"/>
    </xf>
    <xf numFmtId="0" fontId="40" fillId="0" borderId="11" xfId="0" applyFont="1" applyBorder="1" applyAlignment="1" applyProtection="1">
      <alignment vertical="center" shrinkToFit="1"/>
    </xf>
    <xf numFmtId="0" fontId="40" fillId="0" borderId="50" xfId="33" applyNumberFormat="1" applyFont="1" applyBorder="1" applyAlignment="1" applyProtection="1">
      <alignment vertical="center" shrinkToFit="1"/>
    </xf>
    <xf numFmtId="0" fontId="40" fillId="0" borderId="48" xfId="0" applyFont="1" applyBorder="1" applyAlignment="1" applyProtection="1">
      <alignment vertical="center" shrinkToFit="1"/>
    </xf>
    <xf numFmtId="0" fontId="40" fillId="0" borderId="49" xfId="33" applyNumberFormat="1" applyFont="1" applyBorder="1" applyAlignment="1" applyProtection="1">
      <alignment vertical="center" shrinkToFit="1"/>
    </xf>
    <xf numFmtId="0" fontId="40" fillId="0" borderId="0" xfId="0" applyFont="1" applyBorder="1" applyProtection="1">
      <alignment vertical="center"/>
    </xf>
    <xf numFmtId="0" fontId="40" fillId="0" borderId="77" xfId="0" applyFont="1" applyFill="1" applyBorder="1" applyAlignment="1" applyProtection="1">
      <alignment vertical="center" shrinkToFit="1"/>
    </xf>
    <xf numFmtId="177" fontId="40" fillId="0" borderId="11" xfId="0" applyNumberFormat="1" applyFont="1" applyFill="1" applyBorder="1" applyAlignment="1" applyProtection="1">
      <alignment vertical="center" shrinkToFit="1"/>
    </xf>
    <xf numFmtId="0" fontId="40" fillId="0" borderId="11" xfId="0" applyFont="1" applyFill="1" applyBorder="1" applyAlignment="1" applyProtection="1">
      <alignment vertical="center" shrinkToFit="1"/>
    </xf>
    <xf numFmtId="0" fontId="40" fillId="0" borderId="51" xfId="0" applyFont="1" applyFill="1" applyBorder="1" applyAlignment="1" applyProtection="1">
      <alignment horizontal="center" vertical="center" shrinkToFit="1"/>
    </xf>
    <xf numFmtId="0" fontId="40" fillId="0" borderId="15" xfId="0" applyFont="1" applyFill="1" applyBorder="1" applyAlignment="1" applyProtection="1">
      <alignment horizontal="center" vertical="center" shrinkToFit="1"/>
    </xf>
    <xf numFmtId="0" fontId="40" fillId="0" borderId="38" xfId="0" applyFont="1" applyFill="1" applyBorder="1" applyAlignment="1" applyProtection="1">
      <alignment horizontal="center" vertical="center" shrinkToFit="1"/>
    </xf>
    <xf numFmtId="177" fontId="40" fillId="0" borderId="19" xfId="0" applyNumberFormat="1" applyFont="1" applyFill="1" applyBorder="1" applyAlignment="1" applyProtection="1">
      <alignment horizontal="center" vertical="center" shrinkToFit="1"/>
    </xf>
    <xf numFmtId="0" fontId="40" fillId="0" borderId="60" xfId="0" applyFont="1" applyFill="1" applyBorder="1" applyAlignment="1" applyProtection="1">
      <alignment horizontal="center" vertical="center" shrinkToFit="1"/>
    </xf>
    <xf numFmtId="0" fontId="40" fillId="0" borderId="19" xfId="0" applyFont="1" applyFill="1" applyBorder="1" applyAlignment="1" applyProtection="1">
      <alignment vertical="center" shrinkToFit="1"/>
    </xf>
    <xf numFmtId="0" fontId="40" fillId="0" borderId="20" xfId="0" applyFont="1" applyFill="1" applyBorder="1" applyAlignment="1" applyProtection="1">
      <alignment horizontal="center" vertical="center" shrinkToFit="1"/>
    </xf>
    <xf numFmtId="177" fontId="40" fillId="0" borderId="51" xfId="0" applyNumberFormat="1" applyFont="1" applyFill="1" applyBorder="1" applyAlignment="1" applyProtection="1">
      <alignment vertical="center" shrinkToFit="1"/>
    </xf>
    <xf numFmtId="0" fontId="40" fillId="0" borderId="51" xfId="0" applyFont="1" applyFill="1" applyBorder="1" applyAlignment="1" applyProtection="1">
      <alignment vertical="center" shrinkToFit="1"/>
    </xf>
    <xf numFmtId="177" fontId="40" fillId="0" borderId="36" xfId="0" applyNumberFormat="1" applyFont="1" applyFill="1" applyBorder="1" applyAlignment="1" applyProtection="1">
      <alignment vertical="center" shrinkToFit="1"/>
    </xf>
    <xf numFmtId="0" fontId="40" fillId="0" borderId="36" xfId="0" applyFont="1" applyFill="1" applyBorder="1" applyAlignment="1" applyProtection="1">
      <alignment vertical="center" shrinkToFit="1"/>
    </xf>
    <xf numFmtId="177" fontId="40" fillId="0" borderId="48" xfId="0" applyNumberFormat="1" applyFont="1" applyFill="1" applyBorder="1" applyAlignment="1" applyProtection="1">
      <alignment vertical="center" shrinkToFit="1"/>
    </xf>
    <xf numFmtId="0" fontId="40" fillId="0" borderId="48" xfId="0" applyFont="1" applyFill="1" applyBorder="1" applyAlignment="1" applyProtection="1">
      <alignment vertical="center" shrinkToFit="1"/>
    </xf>
    <xf numFmtId="0" fontId="40" fillId="0" borderId="50" xfId="33" applyNumberFormat="1" applyFont="1" applyFill="1" applyBorder="1" applyAlignment="1" applyProtection="1">
      <alignment vertical="center" shrinkToFit="1"/>
    </xf>
    <xf numFmtId="0" fontId="40" fillId="0" borderId="49" xfId="33" applyNumberFormat="1" applyFont="1" applyFill="1" applyBorder="1" applyAlignment="1" applyProtection="1">
      <alignment vertical="center" shrinkToFit="1"/>
    </xf>
    <xf numFmtId="177" fontId="40" fillId="0" borderId="21" xfId="0" applyNumberFormat="1" applyFont="1" applyBorder="1" applyAlignment="1" applyProtection="1">
      <alignment horizontal="center" vertical="center" shrinkToFit="1"/>
    </xf>
    <xf numFmtId="177" fontId="40" fillId="0" borderId="21" xfId="0" applyNumberFormat="1" applyFont="1" applyBorder="1" applyAlignment="1" applyProtection="1">
      <alignment vertical="center" shrinkToFit="1"/>
    </xf>
    <xf numFmtId="0" fontId="40" fillId="0" borderId="66" xfId="0" applyFont="1" applyBorder="1" applyAlignment="1" applyProtection="1">
      <alignment horizontal="center" vertical="center" shrinkToFit="1"/>
    </xf>
    <xf numFmtId="0" fontId="40" fillId="0" borderId="36" xfId="0" applyFont="1" applyBorder="1" applyAlignment="1" applyProtection="1">
      <alignment vertical="center" shrinkToFit="1"/>
    </xf>
    <xf numFmtId="0" fontId="40" fillId="0" borderId="47" xfId="33" applyNumberFormat="1" applyFont="1" applyBorder="1" applyAlignment="1" applyProtection="1">
      <alignment vertical="center" shrinkToFit="1"/>
    </xf>
    <xf numFmtId="177" fontId="40" fillId="0" borderId="21" xfId="0" applyNumberFormat="1" applyFont="1" applyFill="1" applyBorder="1" applyAlignment="1" applyProtection="1">
      <alignment vertical="center" shrinkToFit="1"/>
    </xf>
    <xf numFmtId="0" fontId="40" fillId="0" borderId="66" xfId="0" applyFont="1" applyFill="1" applyBorder="1" applyAlignment="1" applyProtection="1">
      <alignment horizontal="center" vertical="center" shrinkToFit="1"/>
    </xf>
    <xf numFmtId="0" fontId="40" fillId="0" borderId="47" xfId="33" applyNumberFormat="1" applyFont="1" applyFill="1" applyBorder="1" applyAlignment="1" applyProtection="1">
      <alignment vertical="center" shrinkToFit="1"/>
    </xf>
    <xf numFmtId="0" fontId="40" fillId="0" borderId="10" xfId="0" applyFont="1" applyBorder="1" applyAlignment="1" applyProtection="1">
      <alignment horizontal="center" vertical="center" shrinkToFit="1"/>
    </xf>
    <xf numFmtId="0" fontId="40" fillId="0" borderId="10" xfId="0" applyFont="1" applyBorder="1" applyAlignment="1" applyProtection="1">
      <alignment vertical="center" shrinkToFit="1"/>
    </xf>
    <xf numFmtId="180" fontId="40" fillId="0" borderId="25" xfId="0" applyNumberFormat="1" applyFont="1" applyBorder="1" applyAlignment="1" applyProtection="1">
      <alignment horizontal="center" vertical="center" shrinkToFit="1"/>
    </xf>
    <xf numFmtId="180" fontId="40" fillId="30" borderId="25" xfId="0" applyNumberFormat="1" applyFont="1" applyFill="1" applyBorder="1" applyAlignment="1" applyProtection="1">
      <alignment horizontal="center" vertical="center" shrinkToFit="1"/>
    </xf>
    <xf numFmtId="0" fontId="3" fillId="0" borderId="0" xfId="0" applyFont="1" applyAlignment="1" applyProtection="1">
      <alignment horizontal="left" vertical="center" shrinkToFit="1"/>
    </xf>
    <xf numFmtId="0" fontId="40" fillId="0" borderId="25" xfId="0" applyFont="1" applyBorder="1" applyAlignment="1" applyProtection="1">
      <alignment horizontal="left" vertical="center" shrinkToFit="1"/>
    </xf>
    <xf numFmtId="0" fontId="40" fillId="0" borderId="10" xfId="0" applyFont="1" applyFill="1" applyBorder="1" applyAlignment="1" applyProtection="1">
      <alignment horizontal="center" vertical="center" shrinkToFit="1"/>
    </xf>
    <xf numFmtId="0" fontId="3" fillId="0" borderId="30" xfId="0" applyFont="1" applyFill="1" applyBorder="1" applyAlignment="1" applyProtection="1">
      <alignment vertical="center" shrinkToFit="1"/>
    </xf>
    <xf numFmtId="0" fontId="3" fillId="0" borderId="0" xfId="0" applyFont="1" applyFill="1" applyAlignment="1" applyProtection="1">
      <alignment horizontal="left" vertical="center" shrinkToFit="1"/>
    </xf>
    <xf numFmtId="0" fontId="40" fillId="0" borderId="10" xfId="0" applyFont="1" applyFill="1" applyBorder="1" applyAlignment="1" applyProtection="1">
      <alignment vertical="center" shrinkToFit="1"/>
    </xf>
    <xf numFmtId="0" fontId="3" fillId="0" borderId="10" xfId="0" applyFont="1" applyBorder="1" applyAlignment="1" applyProtection="1">
      <alignment horizontal="center" vertical="center" shrinkToFit="1"/>
    </xf>
    <xf numFmtId="0" fontId="3" fillId="0" borderId="0" xfId="0" applyFont="1" applyProtection="1">
      <alignment vertical="center"/>
    </xf>
    <xf numFmtId="0" fontId="3" fillId="0" borderId="30" xfId="0" applyFont="1" applyBorder="1" applyAlignment="1" applyProtection="1">
      <alignment vertical="center" shrinkToFit="1"/>
    </xf>
    <xf numFmtId="0" fontId="40" fillId="0" borderId="26" xfId="0" applyFont="1" applyFill="1" applyBorder="1" applyAlignment="1" applyProtection="1">
      <alignment horizontal="center" vertical="center" shrinkToFit="1"/>
    </xf>
    <xf numFmtId="0" fontId="40" fillId="0" borderId="26" xfId="0" applyFont="1" applyBorder="1" applyAlignment="1" applyProtection="1">
      <alignment horizontal="center" vertical="center" shrinkToFit="1"/>
    </xf>
    <xf numFmtId="49" fontId="32" fillId="0" borderId="0" xfId="42" applyNumberFormat="1" applyFont="1" applyAlignment="1">
      <alignment horizontal="right" vertical="center" shrinkToFit="1"/>
    </xf>
    <xf numFmtId="49" fontId="35" fillId="0" borderId="0" xfId="42" applyNumberFormat="1" applyFont="1" applyAlignment="1">
      <alignment horizontal="center" vertical="center" shrinkToFit="1"/>
    </xf>
    <xf numFmtId="49" fontId="36" fillId="0" borderId="0" xfId="42" applyNumberFormat="1" applyFont="1" applyAlignment="1">
      <alignment vertical="center" shrinkToFit="1"/>
    </xf>
    <xf numFmtId="49" fontId="3" fillId="0" borderId="0" xfId="42" applyNumberFormat="1" applyFont="1" applyAlignment="1">
      <alignment vertical="center" shrinkToFit="1"/>
    </xf>
    <xf numFmtId="49" fontId="25" fillId="0" borderId="0" xfId="42" applyNumberFormat="1" applyFont="1" applyAlignment="1">
      <alignment horizontal="right" vertical="center" shrinkToFit="1"/>
    </xf>
    <xf numFmtId="0" fontId="25" fillId="0" borderId="10" xfId="0" applyFont="1" applyBorder="1" applyAlignment="1">
      <alignment horizontal="center" vertical="center" textRotation="255"/>
    </xf>
    <xf numFmtId="0" fontId="25" fillId="0" borderId="12" xfId="0" applyFont="1" applyBorder="1" applyAlignment="1">
      <alignment horizontal="center" vertical="center" textRotation="255"/>
    </xf>
    <xf numFmtId="0" fontId="25" fillId="0" borderId="29" xfId="0" applyFont="1" applyBorder="1" applyAlignment="1">
      <alignment horizontal="center" vertical="center" textRotation="255"/>
    </xf>
    <xf numFmtId="0" fontId="25" fillId="0" borderId="27" xfId="0" applyFont="1" applyBorder="1" applyAlignment="1">
      <alignment horizontal="center" vertical="center" textRotation="255"/>
    </xf>
    <xf numFmtId="0" fontId="25" fillId="0" borderId="12" xfId="0" applyFont="1" applyBorder="1" applyAlignment="1" applyProtection="1">
      <alignment horizontal="center" vertical="center" shrinkToFit="1"/>
    </xf>
    <xf numFmtId="0" fontId="25" fillId="0" borderId="27" xfId="0" applyFont="1" applyBorder="1" applyAlignment="1" applyProtection="1">
      <alignment horizontal="center" vertical="center" shrinkToFit="1"/>
    </xf>
    <xf numFmtId="176" fontId="25" fillId="0" borderId="12" xfId="0" applyNumberFormat="1" applyFont="1" applyBorder="1" applyAlignment="1" applyProtection="1">
      <alignment horizontal="center" vertical="center" shrinkToFit="1"/>
    </xf>
    <xf numFmtId="176" fontId="25" fillId="0" borderId="27" xfId="0" applyNumberFormat="1" applyFont="1" applyBorder="1" applyAlignment="1" applyProtection="1">
      <alignment horizontal="center" vertical="center" shrinkToFit="1"/>
    </xf>
    <xf numFmtId="0" fontId="24" fillId="26" borderId="25" xfId="0" applyFont="1" applyFill="1" applyBorder="1" applyAlignment="1" applyProtection="1">
      <alignment horizontal="center" vertical="center" shrinkToFit="1"/>
    </xf>
    <xf numFmtId="0" fontId="24" fillId="26" borderId="75" xfId="0" applyFont="1" applyFill="1" applyBorder="1" applyAlignment="1" applyProtection="1">
      <alignment horizontal="center" vertical="center" shrinkToFit="1"/>
    </xf>
    <xf numFmtId="0" fontId="24" fillId="26" borderId="26" xfId="0" applyFont="1" applyFill="1" applyBorder="1" applyAlignment="1" applyProtection="1">
      <alignment horizontal="center" vertical="center" shrinkToFit="1"/>
    </xf>
    <xf numFmtId="0" fontId="24" fillId="27" borderId="25" xfId="0" applyFont="1" applyFill="1" applyBorder="1" applyAlignment="1" applyProtection="1">
      <alignment horizontal="center" vertical="center" shrinkToFit="1"/>
    </xf>
    <xf numFmtId="0" fontId="24" fillId="27" borderId="75" xfId="0" applyFont="1" applyFill="1" applyBorder="1" applyAlignment="1" applyProtection="1">
      <alignment horizontal="center" vertical="center" shrinkToFit="1"/>
    </xf>
    <xf numFmtId="0" fontId="24" fillId="27" borderId="26" xfId="0" applyFont="1" applyFill="1" applyBorder="1" applyAlignment="1" applyProtection="1">
      <alignment horizontal="center" vertical="center" shrinkToFit="1"/>
    </xf>
    <xf numFmtId="0" fontId="3" fillId="0" borderId="0" xfId="0" applyFont="1" applyAlignment="1">
      <alignment vertical="center" shrinkToFit="1"/>
    </xf>
    <xf numFmtId="0" fontId="3" fillId="0" borderId="10" xfId="0" applyFont="1" applyBorder="1" applyAlignment="1">
      <alignment horizontal="center" vertical="center" shrinkToFit="1"/>
    </xf>
    <xf numFmtId="0" fontId="3" fillId="0" borderId="10" xfId="0" applyFont="1" applyBorder="1" applyAlignment="1">
      <alignment horizontal="center" vertical="center" textRotation="255" shrinkToFit="1"/>
    </xf>
    <xf numFmtId="0" fontId="3" fillId="0" borderId="25" xfId="0" applyFont="1" applyBorder="1" applyAlignment="1" applyProtection="1">
      <alignment horizontal="center" shrinkToFit="1"/>
    </xf>
    <xf numFmtId="0" fontId="3" fillId="0" borderId="26" xfId="0" applyFont="1" applyBorder="1" applyAlignment="1" applyProtection="1">
      <alignment horizontal="center" shrinkToFit="1"/>
    </xf>
    <xf numFmtId="0" fontId="3" fillId="0" borderId="75" xfId="0" applyFont="1" applyBorder="1" applyAlignment="1" applyProtection="1">
      <alignment horizontal="center" shrinkToFit="1"/>
    </xf>
    <xf numFmtId="0" fontId="27" fillId="0" borderId="77" xfId="0" applyFont="1" applyBorder="1" applyAlignment="1" applyProtection="1">
      <alignment horizontal="left" vertical="center" shrinkToFit="1"/>
    </xf>
    <xf numFmtId="0" fontId="27" fillId="0" borderId="0" xfId="0" applyFont="1" applyAlignment="1" applyProtection="1">
      <alignment horizontal="left" vertical="center" shrinkToFit="1"/>
    </xf>
    <xf numFmtId="0" fontId="44" fillId="0" borderId="0" xfId="0" applyFont="1" applyAlignment="1" applyProtection="1">
      <alignment horizontal="center" vertical="center" shrinkToFit="1"/>
    </xf>
    <xf numFmtId="0" fontId="3" fillId="0" borderId="30" xfId="0" applyFont="1" applyFill="1" applyBorder="1" applyAlignment="1" applyProtection="1">
      <alignment vertical="center" shrinkToFit="1"/>
    </xf>
    <xf numFmtId="0" fontId="22" fillId="0" borderId="10" xfId="0" applyFont="1" applyFill="1" applyBorder="1" applyAlignment="1" applyProtection="1">
      <alignment horizontal="center" vertical="center" shrinkToFit="1"/>
    </xf>
    <xf numFmtId="0" fontId="3" fillId="0" borderId="0" xfId="0" applyFont="1" applyFill="1" applyAlignment="1" applyProtection="1">
      <alignment horizontal="left" vertical="center" shrinkToFit="1"/>
    </xf>
    <xf numFmtId="180" fontId="3" fillId="0" borderId="30" xfId="0" applyNumberFormat="1" applyFont="1" applyFill="1" applyBorder="1" applyAlignment="1" applyProtection="1">
      <alignment horizontal="center" vertical="center" shrinkToFit="1"/>
    </xf>
    <xf numFmtId="0" fontId="3" fillId="0" borderId="30" xfId="0" applyFont="1" applyFill="1" applyBorder="1" applyAlignment="1" applyProtection="1">
      <alignment horizontal="center" vertical="center" shrinkToFit="1"/>
    </xf>
    <xf numFmtId="0" fontId="40" fillId="0" borderId="10" xfId="0" applyFont="1" applyFill="1" applyBorder="1" applyAlignment="1" applyProtection="1">
      <alignment vertical="center" shrinkToFit="1"/>
    </xf>
    <xf numFmtId="180" fontId="40" fillId="0" borderId="25" xfId="0" applyNumberFormat="1" applyFont="1" applyFill="1" applyBorder="1" applyAlignment="1" applyProtection="1">
      <alignment horizontal="center" vertical="center" shrinkToFit="1"/>
    </xf>
    <xf numFmtId="180" fontId="40" fillId="0" borderId="75" xfId="0" applyNumberFormat="1" applyFont="1" applyFill="1" applyBorder="1" applyAlignment="1" applyProtection="1">
      <alignment horizontal="center" vertical="center" shrinkToFit="1"/>
    </xf>
    <xf numFmtId="180" fontId="40" fillId="0" borderId="75" xfId="0" applyNumberFormat="1" applyFont="1" applyFill="1" applyBorder="1" applyAlignment="1" applyProtection="1">
      <alignment horizontal="left" vertical="center" shrinkToFit="1"/>
    </xf>
    <xf numFmtId="180" fontId="40" fillId="0" borderId="26" xfId="0" applyNumberFormat="1" applyFont="1" applyFill="1" applyBorder="1" applyAlignment="1" applyProtection="1">
      <alignment horizontal="left" vertical="center" shrinkToFit="1"/>
    </xf>
    <xf numFmtId="0" fontId="40" fillId="0" borderId="25" xfId="0" applyFont="1" applyFill="1" applyBorder="1" applyAlignment="1" applyProtection="1">
      <alignment horizontal="left" vertical="center" shrinkToFit="1"/>
    </xf>
    <xf numFmtId="0" fontId="40" fillId="0" borderId="26" xfId="0" applyFont="1" applyFill="1" applyBorder="1" applyAlignment="1" applyProtection="1">
      <alignment horizontal="left" vertical="center" shrinkToFit="1"/>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40" fillId="0" borderId="10" xfId="0" applyFont="1" applyFill="1" applyBorder="1" applyAlignment="1" applyProtection="1">
      <alignment horizontal="left" vertical="center" shrinkToFit="1"/>
    </xf>
    <xf numFmtId="0" fontId="22" fillId="0" borderId="25" xfId="0" applyFont="1" applyFill="1" applyBorder="1" applyAlignment="1" applyProtection="1">
      <alignment horizontal="center" vertical="center" shrinkToFit="1"/>
    </xf>
    <xf numFmtId="0" fontId="22" fillId="0" borderId="75"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40" fillId="0" borderId="10" xfId="0" applyFont="1" applyFill="1" applyBorder="1" applyAlignment="1" applyProtection="1">
      <alignment horizontal="center" vertical="center" shrinkToFit="1"/>
    </xf>
    <xf numFmtId="0" fontId="40" fillId="0" borderId="25" xfId="0" applyFont="1" applyFill="1" applyBorder="1" applyAlignment="1" applyProtection="1">
      <alignment vertical="center" shrinkToFit="1"/>
    </xf>
    <xf numFmtId="0" fontId="40" fillId="0" borderId="75" xfId="0" applyFont="1" applyFill="1" applyBorder="1" applyAlignment="1" applyProtection="1">
      <alignment vertical="center" shrinkToFit="1"/>
    </xf>
    <xf numFmtId="0" fontId="40" fillId="0" borderId="26" xfId="0" applyFont="1" applyFill="1" applyBorder="1" applyAlignment="1" applyProtection="1">
      <alignment vertical="center" shrinkToFit="1"/>
    </xf>
    <xf numFmtId="0" fontId="40" fillId="0" borderId="77" xfId="0" applyFont="1" applyFill="1" applyBorder="1" applyAlignment="1" applyProtection="1">
      <alignment horizontal="right" vertical="center" shrinkToFit="1"/>
    </xf>
    <xf numFmtId="0" fontId="40" fillId="0" borderId="45" xfId="0" applyFont="1" applyFill="1" applyBorder="1" applyAlignment="1" applyProtection="1">
      <alignment horizontal="right" vertical="center" shrinkToFit="1"/>
    </xf>
    <xf numFmtId="180" fontId="3" fillId="28" borderId="30" xfId="0" applyNumberFormat="1" applyFont="1" applyFill="1" applyBorder="1" applyAlignment="1" applyProtection="1">
      <alignment horizontal="center" vertical="center" shrinkToFit="1"/>
      <protection locked="0"/>
    </xf>
    <xf numFmtId="0" fontId="3" fillId="28" borderId="30" xfId="0" applyFont="1" applyFill="1" applyBorder="1" applyAlignment="1" applyProtection="1">
      <alignment horizontal="center" vertical="center" shrinkToFit="1"/>
      <protection locked="0"/>
    </xf>
    <xf numFmtId="0" fontId="3" fillId="28" borderId="30" xfId="0" applyFont="1" applyFill="1" applyBorder="1" applyAlignment="1" applyProtection="1">
      <alignment vertical="center" shrinkToFit="1"/>
      <protection locked="0"/>
    </xf>
    <xf numFmtId="0" fontId="3" fillId="0" borderId="0" xfId="0" applyFont="1" applyAlignment="1" applyProtection="1">
      <alignment horizontal="left" vertical="center" shrinkToFit="1"/>
    </xf>
    <xf numFmtId="0" fontId="40" fillId="0" borderId="10" xfId="0" applyFont="1" applyBorder="1" applyAlignment="1" applyProtection="1">
      <alignment vertical="center" shrinkToFit="1"/>
    </xf>
    <xf numFmtId="0" fontId="40" fillId="0" borderId="25" xfId="0" applyFont="1" applyBorder="1" applyAlignment="1" applyProtection="1">
      <alignment horizontal="left" vertical="center" shrinkToFit="1"/>
    </xf>
    <xf numFmtId="0" fontId="40" fillId="0" borderId="26" xfId="0" applyFont="1" applyBorder="1" applyAlignment="1" applyProtection="1">
      <alignment horizontal="left" vertical="center" shrinkToFit="1"/>
    </xf>
    <xf numFmtId="0" fontId="22" fillId="0" borderId="10" xfId="0" applyFont="1" applyBorder="1" applyAlignment="1" applyProtection="1">
      <alignment horizontal="center" vertical="center" shrinkToFit="1"/>
    </xf>
    <xf numFmtId="0" fontId="40" fillId="0" borderId="10" xfId="0" applyFont="1" applyBorder="1" applyAlignment="1" applyProtection="1">
      <alignment horizontal="center" vertical="center" shrinkToFit="1"/>
    </xf>
    <xf numFmtId="180" fontId="40" fillId="30" borderId="75" xfId="0" applyNumberFormat="1" applyFont="1" applyFill="1" applyBorder="1" applyAlignment="1" applyProtection="1">
      <alignment horizontal="left" vertical="center" shrinkToFit="1"/>
    </xf>
    <xf numFmtId="180" fontId="40" fillId="30" borderId="26" xfId="0" applyNumberFormat="1" applyFont="1" applyFill="1" applyBorder="1" applyAlignment="1" applyProtection="1">
      <alignment horizontal="left" vertical="center" shrinkToFit="1"/>
    </xf>
    <xf numFmtId="180" fontId="40" fillId="0" borderId="25" xfId="0" applyNumberFormat="1" applyFont="1" applyBorder="1" applyAlignment="1" applyProtection="1">
      <alignment horizontal="center" vertical="center" shrinkToFit="1"/>
    </xf>
    <xf numFmtId="180" fontId="40" fillId="0" borderId="75" xfId="0" applyNumberFormat="1" applyFont="1" applyBorder="1" applyAlignment="1" applyProtection="1">
      <alignment horizontal="center" vertical="center" shrinkToFit="1"/>
    </xf>
    <xf numFmtId="180" fontId="40" fillId="0" borderId="75" xfId="0" applyNumberFormat="1" applyFont="1" applyBorder="1" applyAlignment="1" applyProtection="1">
      <alignment horizontal="left" vertical="center" shrinkToFit="1"/>
    </xf>
    <xf numFmtId="180" fontId="40" fillId="0" borderId="26" xfId="0" applyNumberFormat="1" applyFont="1" applyBorder="1" applyAlignment="1" applyProtection="1">
      <alignment horizontal="left" vertical="center" shrinkToFit="1"/>
    </xf>
    <xf numFmtId="180" fontId="40" fillId="30" borderId="25" xfId="0" applyNumberFormat="1" applyFont="1" applyFill="1" applyBorder="1" applyAlignment="1" applyProtection="1">
      <alignment horizontal="center" vertical="center" shrinkToFit="1"/>
    </xf>
    <xf numFmtId="180" fontId="40" fillId="30" borderId="75" xfId="0" applyNumberFormat="1" applyFont="1" applyFill="1" applyBorder="1" applyAlignment="1" applyProtection="1">
      <alignment horizontal="center" vertical="center" shrinkToFit="1"/>
    </xf>
    <xf numFmtId="0" fontId="22" fillId="0" borderId="25" xfId="0" applyFont="1" applyBorder="1" applyAlignment="1" applyProtection="1">
      <alignment horizontal="center" vertical="center" shrinkToFit="1"/>
    </xf>
    <xf numFmtId="0" fontId="22" fillId="0" borderId="75" xfId="0" applyFont="1" applyBorder="1" applyAlignment="1" applyProtection="1">
      <alignment horizontal="center" vertical="center" shrinkToFit="1"/>
    </xf>
    <xf numFmtId="0" fontId="22" fillId="0" borderId="26" xfId="0" applyFont="1" applyBorder="1" applyAlignment="1" applyProtection="1">
      <alignment horizontal="center" vertical="center" shrinkToFit="1"/>
    </xf>
    <xf numFmtId="0" fontId="40" fillId="0" borderId="10" xfId="0" applyFont="1" applyBorder="1" applyAlignment="1" applyProtection="1">
      <alignment horizontal="left" vertical="center" shrinkToFit="1"/>
    </xf>
    <xf numFmtId="0" fontId="40" fillId="0" borderId="25" xfId="0" applyFont="1" applyBorder="1" applyAlignment="1" applyProtection="1">
      <alignment vertical="center" shrinkToFit="1"/>
    </xf>
    <xf numFmtId="0" fontId="40" fillId="0" borderId="75" xfId="0" applyFont="1" applyBorder="1" applyAlignment="1" applyProtection="1">
      <alignment vertical="center" shrinkToFit="1"/>
    </xf>
    <xf numFmtId="0" fontId="40" fillId="0" borderId="26" xfId="0" applyFont="1" applyBorder="1" applyAlignment="1" applyProtection="1">
      <alignment vertical="center" shrinkToFit="1"/>
    </xf>
    <xf numFmtId="0" fontId="40" fillId="0" borderId="77" xfId="0" applyFont="1" applyBorder="1" applyAlignment="1" applyProtection="1">
      <alignment horizontal="right" vertical="center" shrinkToFit="1"/>
    </xf>
    <xf numFmtId="0" fontId="40" fillId="0" borderId="45" xfId="0" applyFont="1" applyBorder="1" applyAlignment="1" applyProtection="1">
      <alignment horizontal="right" vertical="center" shrinkToFit="1"/>
    </xf>
    <xf numFmtId="0" fontId="3" fillId="0" borderId="0" xfId="0" applyFont="1" applyProtection="1">
      <alignment vertical="center"/>
    </xf>
    <xf numFmtId="0" fontId="42" fillId="0" borderId="0" xfId="0" applyFont="1" applyAlignment="1" applyProtection="1">
      <alignment horizontal="center" vertical="center" shrinkToFit="1"/>
    </xf>
    <xf numFmtId="0" fontId="43" fillId="0" borderId="0" xfId="0" applyFont="1" applyAlignment="1" applyProtection="1">
      <alignment horizontal="center" vertical="center" shrinkToFit="1"/>
    </xf>
    <xf numFmtId="0" fontId="3" fillId="0" borderId="10" xfId="0" applyFont="1" applyBorder="1" applyAlignment="1" applyProtection="1">
      <alignment horizontal="center" vertical="center" shrinkToFit="1"/>
    </xf>
    <xf numFmtId="0" fontId="23" fillId="0" borderId="10" xfId="0" applyFont="1" applyBorder="1" applyAlignment="1" applyProtection="1">
      <alignment horizontal="center" vertical="center" shrinkToFit="1"/>
    </xf>
    <xf numFmtId="0" fontId="22" fillId="0" borderId="25" xfId="0" applyFont="1" applyBorder="1" applyAlignment="1" applyProtection="1">
      <alignment vertical="center" shrinkToFit="1"/>
    </xf>
    <xf numFmtId="0" fontId="22" fillId="0" borderId="75" xfId="0" applyFont="1" applyBorder="1" applyAlignment="1" applyProtection="1">
      <alignment vertical="center" shrinkToFit="1"/>
    </xf>
    <xf numFmtId="0" fontId="22" fillId="0" borderId="26" xfId="0" applyFont="1" applyBorder="1" applyAlignment="1" applyProtection="1">
      <alignment vertical="center" shrinkToFit="1"/>
    </xf>
    <xf numFmtId="0" fontId="3" fillId="28" borderId="10" xfId="0" applyFont="1" applyFill="1" applyBorder="1" applyAlignment="1" applyProtection="1">
      <alignment horizontal="center" vertical="center" shrinkToFit="1"/>
      <protection locked="0"/>
    </xf>
    <xf numFmtId="0" fontId="3" fillId="28" borderId="25" xfId="0" applyFont="1" applyFill="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xf>
    <xf numFmtId="0" fontId="3" fillId="0" borderId="75"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xf numFmtId="0" fontId="3" fillId="28" borderId="75" xfId="0" applyFont="1" applyFill="1" applyBorder="1" applyAlignment="1" applyProtection="1">
      <alignment horizontal="center" vertical="center" shrinkToFit="1"/>
      <protection locked="0"/>
    </xf>
    <xf numFmtId="0" fontId="3" fillId="28" borderId="26" xfId="0"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30" xfId="0" applyFont="1" applyBorder="1" applyAlignment="1" applyProtection="1">
      <alignment vertical="center" shrinkToFit="1"/>
    </xf>
    <xf numFmtId="0" fontId="40" fillId="0" borderId="25" xfId="0" applyFont="1" applyBorder="1" applyAlignment="1" applyProtection="1">
      <alignment horizontal="center" vertical="center" shrinkToFit="1"/>
    </xf>
    <xf numFmtId="0" fontId="40" fillId="0" borderId="26" xfId="0" applyFont="1" applyBorder="1" applyAlignment="1" applyProtection="1">
      <alignment horizontal="center" vertical="center" shrinkToFit="1"/>
    </xf>
    <xf numFmtId="0" fontId="40" fillId="0" borderId="75" xfId="0" applyFont="1" applyBorder="1" applyAlignment="1" applyProtection="1">
      <alignment horizontal="left" vertical="center" shrinkToFit="1"/>
    </xf>
    <xf numFmtId="0" fontId="40" fillId="0" borderId="75" xfId="0" applyFont="1" applyFill="1" applyBorder="1" applyAlignment="1" applyProtection="1">
      <alignment horizontal="left" vertical="center" shrinkToFit="1"/>
    </xf>
    <xf numFmtId="0" fontId="40" fillId="0" borderId="25" xfId="0" applyFont="1" applyFill="1" applyBorder="1" applyAlignment="1" applyProtection="1">
      <alignment horizontal="center" vertical="center" shrinkToFit="1"/>
    </xf>
    <xf numFmtId="0" fontId="40" fillId="0" borderId="26" xfId="0" applyFont="1" applyFill="1" applyBorder="1" applyAlignment="1" applyProtection="1">
      <alignment horizontal="center" vertical="center" shrinkToFit="1"/>
    </xf>
    <xf numFmtId="0" fontId="23" fillId="0" borderId="10" xfId="0" applyFont="1" applyBorder="1" applyAlignment="1" applyProtection="1">
      <alignment vertical="center" shrinkToFit="1"/>
    </xf>
    <xf numFmtId="0" fontId="3" fillId="0" borderId="10" xfId="0" applyFont="1" applyBorder="1" applyAlignment="1" applyProtection="1">
      <alignment vertical="center" shrinkToFit="1"/>
    </xf>
    <xf numFmtId="0" fontId="3" fillId="0" borderId="25" xfId="0" applyFont="1" applyBorder="1" applyAlignment="1" applyProtection="1">
      <alignment horizontal="left" vertical="center" shrinkToFit="1"/>
    </xf>
    <xf numFmtId="0" fontId="3" fillId="0" borderId="26" xfId="0" applyFont="1" applyBorder="1" applyAlignment="1" applyProtection="1">
      <alignment horizontal="left" vertical="center" shrinkToFit="1"/>
    </xf>
    <xf numFmtId="0" fontId="3" fillId="0" borderId="10" xfId="0" applyFont="1" applyBorder="1" applyAlignment="1" applyProtection="1">
      <alignment horizontal="left" vertical="center" shrinkToFit="1"/>
    </xf>
    <xf numFmtId="180" fontId="3" fillId="30" borderId="25" xfId="0" applyNumberFormat="1" applyFont="1" applyFill="1" applyBorder="1" applyAlignment="1" applyProtection="1">
      <alignment horizontal="center" vertical="center" shrinkToFit="1"/>
    </xf>
    <xf numFmtId="180" fontId="3" fillId="30" borderId="75" xfId="0" applyNumberFormat="1" applyFont="1" applyFill="1" applyBorder="1" applyAlignment="1" applyProtection="1">
      <alignment horizontal="center" vertical="center" shrinkToFit="1"/>
    </xf>
    <xf numFmtId="180" fontId="3" fillId="30" borderId="75" xfId="0" applyNumberFormat="1" applyFont="1" applyFill="1" applyBorder="1" applyAlignment="1" applyProtection="1">
      <alignment horizontal="left" vertical="center" shrinkToFit="1"/>
    </xf>
    <xf numFmtId="180" fontId="3" fillId="30" borderId="26" xfId="0" applyNumberFormat="1" applyFont="1" applyFill="1" applyBorder="1" applyAlignment="1" applyProtection="1">
      <alignment horizontal="left" vertical="center" shrinkToFit="1"/>
    </xf>
    <xf numFmtId="180" fontId="3" fillId="0" borderId="25" xfId="0" applyNumberFormat="1" applyFont="1" applyBorder="1" applyAlignment="1" applyProtection="1">
      <alignment horizontal="center" vertical="center" shrinkToFit="1"/>
    </xf>
    <xf numFmtId="180" fontId="3" fillId="0" borderId="75" xfId="0" applyNumberFormat="1" applyFont="1" applyBorder="1" applyAlignment="1" applyProtection="1">
      <alignment horizontal="center" vertical="center" shrinkToFit="1"/>
    </xf>
    <xf numFmtId="180" fontId="3" fillId="0" borderId="75" xfId="0" applyNumberFormat="1" applyFont="1" applyBorder="1" applyAlignment="1" applyProtection="1">
      <alignment horizontal="left" vertical="center" shrinkToFit="1"/>
    </xf>
    <xf numFmtId="180" fontId="3" fillId="0" borderId="26" xfId="0" applyNumberFormat="1" applyFont="1" applyBorder="1" applyAlignment="1" applyProtection="1">
      <alignment horizontal="left" vertical="center" shrinkToFit="1"/>
    </xf>
    <xf numFmtId="0" fontId="3" fillId="0" borderId="12" xfId="0" applyFont="1" applyBorder="1" applyAlignment="1" applyProtection="1">
      <alignment horizontal="center" vertical="center" wrapText="1" shrinkToFit="1"/>
    </xf>
    <xf numFmtId="0" fontId="3" fillId="0" borderId="27" xfId="0" applyFont="1" applyBorder="1" applyAlignment="1" applyProtection="1">
      <alignment horizontal="center" vertical="center" shrinkToFit="1"/>
    </xf>
    <xf numFmtId="0" fontId="3" fillId="0" borderId="12" xfId="0" applyFont="1" applyBorder="1" applyAlignment="1" applyProtection="1">
      <alignment horizontal="center" vertical="center" textRotation="255" shrinkToFit="1"/>
    </xf>
    <xf numFmtId="0" fontId="3" fillId="0" borderId="29" xfId="0" applyFont="1" applyBorder="1" applyAlignment="1" applyProtection="1">
      <alignment horizontal="center" vertical="center" textRotation="255" shrinkToFit="1"/>
    </xf>
    <xf numFmtId="0" fontId="3" fillId="0" borderId="27" xfId="0" applyFont="1" applyBorder="1" applyAlignment="1" applyProtection="1">
      <alignment horizontal="center" vertical="center" textRotation="255" shrinkToFit="1"/>
    </xf>
    <xf numFmtId="0" fontId="3" fillId="0" borderId="73" xfId="0" applyFont="1" applyBorder="1" applyAlignment="1" applyProtection="1">
      <alignment horizontal="center" vertical="center" textRotation="255" shrinkToFit="1"/>
    </xf>
    <xf numFmtId="0" fontId="3" fillId="0" borderId="77" xfId="0" applyFont="1" applyBorder="1" applyAlignment="1" applyProtection="1">
      <alignment horizontal="center" vertical="center" textRotation="255" shrinkToFit="1"/>
    </xf>
    <xf numFmtId="0" fontId="3" fillId="0" borderId="78" xfId="0" applyFont="1" applyBorder="1" applyAlignment="1" applyProtection="1">
      <alignment horizontal="center" vertical="center" textRotation="255" shrinkToFit="1"/>
    </xf>
    <xf numFmtId="0" fontId="3" fillId="0" borderId="72" xfId="0" applyFont="1" applyBorder="1" applyAlignment="1" applyProtection="1">
      <alignment horizontal="center" vertical="center" textRotation="255" shrinkToFit="1"/>
    </xf>
    <xf numFmtId="0" fontId="28" fillId="0" borderId="39" xfId="0" applyFont="1" applyBorder="1" applyAlignment="1" applyProtection="1">
      <alignment horizontal="right" vertical="center" shrinkToFit="1"/>
    </xf>
    <xf numFmtId="0" fontId="28" fillId="0" borderId="39" xfId="0" applyFont="1" applyBorder="1" applyAlignment="1" applyProtection="1">
      <alignment vertical="center" shrinkToFit="1"/>
    </xf>
    <xf numFmtId="180" fontId="28" fillId="0" borderId="39" xfId="0" applyNumberFormat="1" applyFont="1" applyBorder="1" applyAlignment="1" applyProtection="1">
      <alignment horizontal="left" vertical="center" shrinkToFit="1"/>
    </xf>
    <xf numFmtId="179" fontId="26" fillId="0" borderId="0" xfId="0" applyNumberFormat="1" applyFont="1" applyAlignment="1" applyProtection="1">
      <alignment horizontal="right" vertical="center" shrinkToFit="1"/>
    </xf>
    <xf numFmtId="0" fontId="26" fillId="0" borderId="0" xfId="0" applyFont="1" applyAlignment="1" applyProtection="1">
      <alignment vertical="center" shrinkToFit="1"/>
    </xf>
    <xf numFmtId="0" fontId="26" fillId="0" borderId="0" xfId="0" applyFont="1" applyAlignment="1" applyProtection="1">
      <alignment horizontal="right" vertical="center" shrinkToFit="1"/>
    </xf>
    <xf numFmtId="0" fontId="26" fillId="0" borderId="0" xfId="0" applyFont="1" applyAlignment="1" applyProtection="1">
      <alignment horizontal="center" vertical="center" shrinkToFit="1"/>
    </xf>
    <xf numFmtId="0" fontId="26" fillId="0" borderId="25" xfId="0" applyFont="1" applyBorder="1" applyAlignment="1" applyProtection="1">
      <alignment horizontal="center" vertical="center" shrinkToFit="1"/>
    </xf>
    <xf numFmtId="0" fontId="26" fillId="0" borderId="75" xfId="0" applyFont="1" applyBorder="1" applyAlignment="1" applyProtection="1">
      <alignment horizontal="center" vertical="center" shrinkToFit="1"/>
    </xf>
    <xf numFmtId="0" fontId="26" fillId="0" borderId="75" xfId="0" applyFont="1" applyBorder="1" applyAlignment="1" applyProtection="1">
      <alignment vertical="center" shrinkToFit="1"/>
    </xf>
    <xf numFmtId="0" fontId="26" fillId="0" borderId="26" xfId="0" applyFont="1" applyBorder="1" applyAlignment="1" applyProtection="1">
      <alignment vertical="center" shrinkToFit="1"/>
    </xf>
    <xf numFmtId="0" fontId="26" fillId="0" borderId="25" xfId="0" applyFont="1" applyBorder="1" applyAlignment="1" applyProtection="1">
      <alignment horizontal="left" vertical="center" shrinkToFit="1"/>
    </xf>
    <xf numFmtId="0" fontId="26" fillId="0" borderId="75" xfId="0" applyFont="1" applyBorder="1" applyAlignment="1" applyProtection="1">
      <alignment horizontal="left" vertical="center" shrinkToFit="1"/>
    </xf>
    <xf numFmtId="0" fontId="26" fillId="0" borderId="26" xfId="0" applyFont="1" applyBorder="1" applyAlignment="1" applyProtection="1">
      <alignment horizontal="left" vertical="center" shrinkToFit="1"/>
    </xf>
    <xf numFmtId="0" fontId="26" fillId="0" borderId="26" xfId="0" applyFont="1" applyBorder="1" applyAlignment="1" applyProtection="1">
      <alignment horizontal="center" vertical="center" shrinkToFit="1"/>
    </xf>
    <xf numFmtId="182" fontId="28" fillId="0" borderId="39" xfId="0" applyNumberFormat="1" applyFont="1" applyBorder="1" applyAlignment="1" applyProtection="1">
      <alignment horizontal="left" vertical="center" shrinkToFit="1"/>
    </xf>
    <xf numFmtId="177" fontId="40" fillId="28" borderId="19" xfId="0" applyNumberFormat="1" applyFont="1" applyFill="1" applyBorder="1" applyAlignment="1" applyProtection="1">
      <alignment horizontal="center" vertical="center" shrinkToFit="1"/>
      <protection locked="0"/>
    </xf>
    <xf numFmtId="177" fontId="40" fillId="28" borderId="11" xfId="0" applyNumberFormat="1" applyFont="1" applyFill="1" applyBorder="1" applyAlignment="1" applyProtection="1">
      <alignment vertical="center" shrinkToFit="1"/>
      <protection locked="0"/>
    </xf>
    <xf numFmtId="0" fontId="40" fillId="28" borderId="11" xfId="0" applyFont="1" applyFill="1" applyBorder="1" applyAlignment="1" applyProtection="1">
      <alignment vertical="center" shrinkToFit="1"/>
      <protection locked="0"/>
    </xf>
    <xf numFmtId="177" fontId="40" fillId="28" borderId="51" xfId="0" applyNumberFormat="1" applyFont="1" applyFill="1" applyBorder="1" applyAlignment="1" applyProtection="1">
      <alignment vertical="center" shrinkToFit="1"/>
      <protection locked="0"/>
    </xf>
    <xf numFmtId="0" fontId="40" fillId="28" borderId="51" xfId="0" applyFont="1" applyFill="1" applyBorder="1" applyAlignment="1" applyProtection="1">
      <alignment vertical="center" shrinkToFit="1"/>
      <protection locked="0"/>
    </xf>
    <xf numFmtId="177" fontId="40" fillId="28" borderId="36" xfId="0" applyNumberFormat="1" applyFont="1" applyFill="1" applyBorder="1" applyAlignment="1" applyProtection="1">
      <alignment vertical="center" shrinkToFit="1"/>
      <protection locked="0"/>
    </xf>
    <xf numFmtId="0" fontId="40" fillId="28" borderId="36" xfId="0" applyFont="1" applyFill="1" applyBorder="1" applyAlignment="1" applyProtection="1">
      <alignment vertical="center" shrinkToFit="1"/>
      <protection locked="0"/>
    </xf>
    <xf numFmtId="177" fontId="40" fillId="28" borderId="48" xfId="0" applyNumberFormat="1" applyFont="1" applyFill="1" applyBorder="1" applyAlignment="1" applyProtection="1">
      <alignment vertical="center" shrinkToFit="1"/>
      <protection locked="0"/>
    </xf>
    <xf numFmtId="0" fontId="40" fillId="28" borderId="48" xfId="0" applyFont="1" applyFill="1" applyBorder="1" applyAlignment="1" applyProtection="1">
      <alignment vertical="center" shrinkToFit="1"/>
      <protection locked="0"/>
    </xf>
    <xf numFmtId="177" fontId="3" fillId="28" borderId="35" xfId="0" applyNumberFormat="1" applyFont="1" applyFill="1" applyBorder="1" applyAlignment="1" applyProtection="1">
      <alignment horizontal="center" vertical="center" shrinkToFit="1"/>
      <protection locked="0"/>
    </xf>
    <xf numFmtId="177" fontId="3" fillId="28" borderId="37" xfId="0" applyNumberFormat="1" applyFont="1" applyFill="1" applyBorder="1" applyAlignment="1" applyProtection="1">
      <alignment horizontal="center" vertical="center" shrinkToFit="1"/>
      <protection locked="0"/>
    </xf>
    <xf numFmtId="177" fontId="3" fillId="28" borderId="54" xfId="0" applyNumberFormat="1" applyFont="1" applyFill="1" applyBorder="1" applyAlignment="1" applyProtection="1">
      <alignment horizontal="center" vertical="center" shrinkToFit="1"/>
      <protection locked="0"/>
    </xf>
    <xf numFmtId="0" fontId="3" fillId="28" borderId="11" xfId="0" applyFont="1" applyFill="1" applyBorder="1" applyAlignment="1" applyProtection="1">
      <alignment horizontal="center" vertical="center" shrinkToFit="1"/>
      <protection locked="0"/>
    </xf>
    <xf numFmtId="178" fontId="3" fillId="28" borderId="33" xfId="0" quotePrefix="1" applyNumberFormat="1" applyFont="1" applyFill="1" applyBorder="1" applyAlignment="1" applyProtection="1">
      <alignment horizontal="center" vertical="center" shrinkToFit="1"/>
      <protection locked="0"/>
    </xf>
    <xf numFmtId="0" fontId="3" fillId="28" borderId="36" xfId="0" applyFont="1" applyFill="1" applyBorder="1" applyAlignment="1" applyProtection="1">
      <alignment horizontal="center" vertical="center" shrinkToFit="1"/>
      <protection locked="0"/>
    </xf>
    <xf numFmtId="178" fontId="3" fillId="28" borderId="13" xfId="0" quotePrefix="1" applyNumberFormat="1" applyFont="1" applyFill="1" applyBorder="1" applyAlignment="1" applyProtection="1">
      <alignment horizontal="center" vertical="center" shrinkToFit="1"/>
      <protection locked="0"/>
    </xf>
    <xf numFmtId="178" fontId="3" fillId="28" borderId="14" xfId="0" quotePrefix="1" applyNumberFormat="1" applyFont="1" applyFill="1" applyBorder="1" applyAlignment="1" applyProtection="1">
      <alignment horizontal="center" vertical="center" shrinkToFit="1"/>
      <protection locked="0"/>
    </xf>
    <xf numFmtId="178" fontId="3" fillId="28" borderId="33" xfId="0" applyNumberFormat="1" applyFont="1" applyFill="1" applyBorder="1" applyAlignment="1" applyProtection="1">
      <alignment horizontal="center" vertical="center" shrinkToFit="1"/>
      <protection locked="0"/>
    </xf>
    <xf numFmtId="178" fontId="3" fillId="28" borderId="13" xfId="0" applyNumberFormat="1" applyFont="1" applyFill="1" applyBorder="1" applyAlignment="1" applyProtection="1">
      <alignment horizontal="center" vertical="center" shrinkToFit="1"/>
      <protection locked="0"/>
    </xf>
    <xf numFmtId="178" fontId="3" fillId="28" borderId="14" xfId="0" applyNumberFormat="1" applyFont="1" applyFill="1" applyBorder="1" applyAlignment="1" applyProtection="1">
      <alignment horizontal="center" vertical="center" shrinkToFit="1"/>
      <protection locked="0"/>
    </xf>
    <xf numFmtId="0" fontId="3" fillId="28" borderId="48" xfId="0" applyFont="1" applyFill="1" applyBorder="1" applyAlignment="1" applyProtection="1">
      <alignment horizontal="center" vertical="center" shrinkToFit="1"/>
      <protection locked="0"/>
    </xf>
    <xf numFmtId="177" fontId="3" fillId="28" borderId="38" xfId="0" applyNumberFormat="1" applyFont="1" applyFill="1" applyBorder="1" applyAlignment="1" applyProtection="1">
      <alignment horizontal="center" vertical="center" shrinkToFit="1"/>
      <protection locked="0"/>
    </xf>
    <xf numFmtId="179" fontId="26" fillId="28" borderId="0" xfId="0" applyNumberFormat="1" applyFont="1" applyFill="1" applyAlignment="1" applyProtection="1">
      <alignment horizontal="right" vertical="center" shrinkToFit="1"/>
      <protection locked="0"/>
    </xf>
    <xf numFmtId="0" fontId="26" fillId="25" borderId="10" xfId="0" applyFont="1" applyFill="1" applyBorder="1" applyAlignment="1" applyProtection="1">
      <alignment horizontal="center" vertical="center" shrinkToFit="1"/>
      <protection locked="0"/>
    </xf>
    <xf numFmtId="181" fontId="28" fillId="28" borderId="20" xfId="0" applyNumberFormat="1" applyFont="1" applyFill="1" applyBorder="1" applyAlignment="1" applyProtection="1">
      <alignment horizontal="center" vertical="center" shrinkToFit="1"/>
      <protection locked="0"/>
    </xf>
    <xf numFmtId="181" fontId="28" fillId="28" borderId="22" xfId="0" applyNumberFormat="1" applyFont="1" applyFill="1" applyBorder="1" applyAlignment="1" applyProtection="1">
      <alignment horizontal="center" vertical="center" shrinkToFit="1"/>
      <protection locked="0"/>
    </xf>
    <xf numFmtId="181" fontId="28" fillId="28" borderId="24" xfId="0" applyNumberFormat="1" applyFont="1" applyFill="1" applyBorder="1" applyAlignment="1" applyProtection="1">
      <alignment horizontal="center" vertical="center" shrinkToFit="1"/>
      <protection locked="0"/>
    </xf>
    <xf numFmtId="0" fontId="28" fillId="28" borderId="19" xfId="0" applyFont="1" applyFill="1" applyBorder="1" applyAlignment="1" applyProtection="1">
      <alignment vertical="center" shrinkToFit="1"/>
      <protection locked="0"/>
    </xf>
    <xf numFmtId="0" fontId="28" fillId="28" borderId="21" xfId="0" applyFont="1" applyFill="1" applyBorder="1" applyAlignment="1" applyProtection="1">
      <alignment vertical="center" shrinkToFit="1"/>
      <protection locked="0"/>
    </xf>
    <xf numFmtId="0" fontId="28" fillId="28" borderId="23" xfId="0" applyFont="1" applyFill="1" applyBorder="1" applyAlignment="1" applyProtection="1">
      <alignment vertical="center" shrinkToFit="1"/>
      <protection locked="0"/>
    </xf>
    <xf numFmtId="179" fontId="28" fillId="28" borderId="0" xfId="0" applyNumberFormat="1" applyFont="1" applyFill="1" applyAlignment="1" applyProtection="1">
      <alignment horizontal="center" vertical="center" shrinkToFit="1"/>
      <protection locked="0"/>
    </xf>
    <xf numFmtId="0" fontId="28" fillId="28" borderId="0" xfId="0" applyFont="1" applyFill="1" applyAlignment="1" applyProtection="1">
      <alignment vertical="center" shrinkToFit="1"/>
      <protection locked="0"/>
    </xf>
    <xf numFmtId="0" fontId="28" fillId="0" borderId="19"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28" fillId="0" borderId="23" xfId="0" applyFont="1" applyFill="1" applyBorder="1" applyAlignment="1" applyProtection="1">
      <alignment horizontal="center" vertical="center" shrinkToFit="1"/>
    </xf>
    <xf numFmtId="0" fontId="28" fillId="0" borderId="19" xfId="0" quotePrefix="1" applyFont="1" applyFill="1" applyBorder="1" applyAlignment="1" applyProtection="1">
      <alignment horizontal="center" vertical="center" shrinkToFit="1"/>
    </xf>
    <xf numFmtId="0" fontId="28" fillId="0" borderId="21" xfId="0" quotePrefix="1" applyFont="1" applyFill="1" applyBorder="1" applyAlignment="1" applyProtection="1">
      <alignment horizontal="center" vertical="center" shrinkToFit="1"/>
    </xf>
    <xf numFmtId="0" fontId="28" fillId="0" borderId="23" xfId="0" quotePrefix="1" applyFont="1" applyFill="1" applyBorder="1" applyAlignment="1" applyProtection="1">
      <alignment horizontal="center" vertical="center" shrinkToFit="1"/>
    </xf>
    <xf numFmtId="0" fontId="41" fillId="0" borderId="0" xfId="0" applyFont="1" applyBorder="1" applyAlignment="1" applyProtection="1">
      <alignment horizontal="center" vertical="center" shrinkToFit="1"/>
    </xf>
    <xf numFmtId="0" fontId="40" fillId="0" borderId="77" xfId="0" applyFont="1" applyBorder="1" applyProtection="1">
      <alignment vertical="center"/>
    </xf>
    <xf numFmtId="180" fontId="40" fillId="30" borderId="26" xfId="0" applyNumberFormat="1" applyFont="1" applyFill="1" applyBorder="1" applyAlignment="1" applyProtection="1">
      <alignment horizontal="center" vertical="center" shrinkToFit="1"/>
    </xf>
    <xf numFmtId="180" fontId="40" fillId="0" borderId="26" xfId="0" applyNumberFormat="1" applyFont="1" applyBorder="1" applyAlignment="1" applyProtection="1">
      <alignment horizontal="center" vertical="center" shrinkToFit="1"/>
    </xf>
    <xf numFmtId="0" fontId="40" fillId="0" borderId="78" xfId="0" applyFont="1" applyBorder="1" applyProtection="1">
      <alignment vertical="center"/>
    </xf>
    <xf numFmtId="0" fontId="40" fillId="0" borderId="30" xfId="0" applyFont="1" applyBorder="1" applyProtection="1">
      <alignment vertical="center"/>
    </xf>
    <xf numFmtId="0" fontId="40" fillId="0" borderId="25" xfId="0" applyFont="1" applyBorder="1" applyAlignment="1" applyProtection="1">
      <alignment horizontal="center" vertical="center"/>
    </xf>
    <xf numFmtId="0" fontId="40" fillId="0" borderId="26" xfId="0" applyFont="1" applyBorder="1" applyAlignment="1" applyProtection="1">
      <alignment horizontal="center" vertical="center"/>
    </xf>
    <xf numFmtId="0" fontId="39" fillId="31" borderId="0" xfId="0" applyFont="1" applyFill="1" applyAlignment="1" applyProtection="1">
      <alignment horizontal="center" vertical="center" shrinkToFi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選手登録" xfId="42"/>
    <cellStyle name="良い" xfId="43"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Spin" dx="16" fmlaLink="$O$1" max="30000" page="10"/>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0F56C55-573C-4C2A-8960-318D5A268223}"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kumimoji="1" lang="ja-JP" altLang="en-US"/>
        </a:p>
      </dgm:t>
    </dgm:pt>
    <dgm:pt modelId="{CE9673BF-51AA-4C2E-A62C-807615A5562B}">
      <dgm:prSet phldrT="[テキスト]"/>
      <dgm:spPr/>
      <dgm:t>
        <a:bodyPr/>
        <a:lstStyle/>
        <a:p>
          <a:r>
            <a:rPr kumimoji="1" lang="ja-JP" altLang="en-US"/>
            <a:t>全日本弓道連盟</a:t>
          </a:r>
        </a:p>
      </dgm:t>
    </dgm:pt>
    <dgm:pt modelId="{4C4C75C4-FD4A-415F-8A71-DA407E5A395E}" type="sibTrans" cxnId="{AC8029A9-6BD2-47BC-B7F7-CA1BC3737644}">
      <dgm:prSet/>
      <dgm:spPr/>
      <dgm:t>
        <a:bodyPr/>
        <a:lstStyle/>
        <a:p>
          <a:endParaRPr kumimoji="1" lang="ja-JP" altLang="en-US"/>
        </a:p>
      </dgm:t>
    </dgm:pt>
    <dgm:pt modelId="{F2E5B4A9-3673-4D4B-9513-469DE3267CE9}" type="parTrans" cxnId="{AC8029A9-6BD2-47BC-B7F7-CA1BC3737644}">
      <dgm:prSet/>
      <dgm:spPr/>
      <dgm:t>
        <a:bodyPr/>
        <a:lstStyle/>
        <a:p>
          <a:endParaRPr kumimoji="1" lang="ja-JP" altLang="en-US"/>
        </a:p>
      </dgm:t>
    </dgm:pt>
    <dgm:pt modelId="{15081DAF-37C7-49EC-8B47-9135784C11F4}">
      <dgm:prSet/>
      <dgm:spPr/>
      <dgm:t>
        <a:bodyPr/>
        <a:lstStyle/>
        <a:p>
          <a:r>
            <a:rPr kumimoji="1" lang="ja-JP" altLang="en-US"/>
            <a:t>各都道府県弓道連盟</a:t>
          </a:r>
        </a:p>
      </dgm:t>
    </dgm:pt>
    <dgm:pt modelId="{A0DAFD87-9105-416B-BF5B-5DE06952BC1A}" type="parTrans" cxnId="{F774B1A7-D33C-4161-9108-E2F37A8C5F6C}">
      <dgm:prSet/>
      <dgm:spPr/>
      <dgm:t>
        <a:bodyPr/>
        <a:lstStyle/>
        <a:p>
          <a:endParaRPr kumimoji="1" lang="ja-JP" altLang="en-US"/>
        </a:p>
      </dgm:t>
    </dgm:pt>
    <dgm:pt modelId="{262D5FFF-3565-4D9B-9AC2-6B83DBADFA5D}" type="sibTrans" cxnId="{F774B1A7-D33C-4161-9108-E2F37A8C5F6C}">
      <dgm:prSet/>
      <dgm:spPr/>
      <dgm:t>
        <a:bodyPr/>
        <a:lstStyle/>
        <a:p>
          <a:endParaRPr kumimoji="1" lang="ja-JP" altLang="en-US"/>
        </a:p>
      </dgm:t>
    </dgm:pt>
    <dgm:pt modelId="{C00C7BE6-092F-40F5-8208-42FEF5CE92C0}">
      <dgm:prSet/>
      <dgm:spPr/>
      <dgm:t>
        <a:bodyPr/>
        <a:lstStyle/>
        <a:p>
          <a:r>
            <a:rPr kumimoji="1" lang="ja-JP" altLang="en-US"/>
            <a:t>群馬県弓道連盟</a:t>
          </a:r>
        </a:p>
      </dgm:t>
    </dgm:pt>
    <dgm:pt modelId="{B73A43B5-71B8-4827-8C43-B6EA832CE76D}" type="parTrans" cxnId="{D915AED7-BBB9-4D2C-B921-28840A0F4AEF}">
      <dgm:prSet/>
      <dgm:spPr/>
      <dgm:t>
        <a:bodyPr/>
        <a:lstStyle/>
        <a:p>
          <a:endParaRPr kumimoji="1" lang="ja-JP" altLang="en-US"/>
        </a:p>
      </dgm:t>
    </dgm:pt>
    <dgm:pt modelId="{7AD21E19-1518-4BEF-AE59-743F4FCC8474}" type="sibTrans" cxnId="{D915AED7-BBB9-4D2C-B921-28840A0F4AEF}">
      <dgm:prSet/>
      <dgm:spPr/>
      <dgm:t>
        <a:bodyPr/>
        <a:lstStyle/>
        <a:p>
          <a:endParaRPr kumimoji="1" lang="ja-JP" altLang="en-US"/>
        </a:p>
      </dgm:t>
    </dgm:pt>
    <dgm:pt modelId="{AEFFFCCC-495E-4937-A47F-CA4C7844DAC0}">
      <dgm:prSet/>
      <dgm:spPr/>
      <dgm:t>
        <a:bodyPr/>
        <a:lstStyle/>
        <a:p>
          <a:r>
            <a:rPr kumimoji="1" lang="ja-JP" altLang="en-US"/>
            <a:t>各部会</a:t>
          </a:r>
        </a:p>
      </dgm:t>
    </dgm:pt>
    <dgm:pt modelId="{C5E44F1B-F5F0-42A7-8EB0-7EACA41A0257}" type="parTrans" cxnId="{6617939A-4174-43A3-BE16-B99D12C74E7D}">
      <dgm:prSet/>
      <dgm:spPr/>
      <dgm:t>
        <a:bodyPr/>
        <a:lstStyle/>
        <a:p>
          <a:endParaRPr kumimoji="1" lang="ja-JP" altLang="en-US"/>
        </a:p>
      </dgm:t>
    </dgm:pt>
    <dgm:pt modelId="{A175F22E-6EAC-4A27-8F31-72E4A018D7BD}" type="sibTrans" cxnId="{6617939A-4174-43A3-BE16-B99D12C74E7D}">
      <dgm:prSet/>
      <dgm:spPr/>
      <dgm:t>
        <a:bodyPr/>
        <a:lstStyle/>
        <a:p>
          <a:endParaRPr kumimoji="1" lang="ja-JP" altLang="en-US"/>
        </a:p>
      </dgm:t>
    </dgm:pt>
    <dgm:pt modelId="{5BD0592B-561C-461E-930E-5034156F31EA}">
      <dgm:prSet/>
      <dgm:spPr/>
      <dgm:t>
        <a:bodyPr/>
        <a:lstStyle/>
        <a:p>
          <a:r>
            <a:rPr kumimoji="1" lang="ja-JP" altLang="en-US"/>
            <a:t>高校部会</a:t>
          </a:r>
        </a:p>
      </dgm:t>
    </dgm:pt>
    <dgm:pt modelId="{58683D63-AE2D-4F84-A022-00BC4E9FC491}" type="parTrans" cxnId="{1940C8A2-C42D-46E6-A62B-2D3F43299332}">
      <dgm:prSet/>
      <dgm:spPr/>
      <dgm:t>
        <a:bodyPr/>
        <a:lstStyle/>
        <a:p>
          <a:endParaRPr kumimoji="1" lang="ja-JP" altLang="en-US"/>
        </a:p>
      </dgm:t>
    </dgm:pt>
    <dgm:pt modelId="{3CF65A1E-89EE-4651-94E6-C4A36E49EE5B}" type="sibTrans" cxnId="{1940C8A2-C42D-46E6-A62B-2D3F43299332}">
      <dgm:prSet/>
      <dgm:spPr/>
      <dgm:t>
        <a:bodyPr/>
        <a:lstStyle/>
        <a:p>
          <a:endParaRPr kumimoji="1" lang="ja-JP" altLang="en-US"/>
        </a:p>
      </dgm:t>
    </dgm:pt>
    <dgm:pt modelId="{0758E1B5-47BC-482B-A633-B75B11037445}" type="pres">
      <dgm:prSet presAssocID="{10F56C55-573C-4C2A-8960-318D5A268223}" presName="hierChild1" presStyleCnt="0">
        <dgm:presLayoutVars>
          <dgm:orgChart val="1"/>
          <dgm:chPref val="1"/>
          <dgm:dir/>
          <dgm:animOne val="branch"/>
          <dgm:animLvl val="lvl"/>
          <dgm:resizeHandles/>
        </dgm:presLayoutVars>
      </dgm:prSet>
      <dgm:spPr/>
      <dgm:t>
        <a:bodyPr/>
        <a:lstStyle/>
        <a:p>
          <a:endParaRPr kumimoji="1" lang="ja-JP" altLang="en-US"/>
        </a:p>
      </dgm:t>
    </dgm:pt>
    <dgm:pt modelId="{2A37D473-1243-4BCC-B76D-9B430DF46564}" type="pres">
      <dgm:prSet presAssocID="{CE9673BF-51AA-4C2E-A62C-807615A5562B}" presName="hierRoot1" presStyleCnt="0">
        <dgm:presLayoutVars>
          <dgm:hierBranch val="init"/>
        </dgm:presLayoutVars>
      </dgm:prSet>
      <dgm:spPr/>
    </dgm:pt>
    <dgm:pt modelId="{5AAC6A8B-A872-4996-A8A9-EC8AB3CFCA15}" type="pres">
      <dgm:prSet presAssocID="{CE9673BF-51AA-4C2E-A62C-807615A5562B}" presName="rootComposite1" presStyleCnt="0"/>
      <dgm:spPr/>
    </dgm:pt>
    <dgm:pt modelId="{F36BE8FA-C6BD-40AF-8DE7-CC34DBEF4898}" type="pres">
      <dgm:prSet presAssocID="{CE9673BF-51AA-4C2E-A62C-807615A5562B}" presName="rootText1" presStyleLbl="node0" presStyleIdx="0" presStyleCnt="1">
        <dgm:presLayoutVars>
          <dgm:chPref val="3"/>
        </dgm:presLayoutVars>
      </dgm:prSet>
      <dgm:spPr/>
      <dgm:t>
        <a:bodyPr/>
        <a:lstStyle/>
        <a:p>
          <a:endParaRPr kumimoji="1" lang="ja-JP" altLang="en-US"/>
        </a:p>
      </dgm:t>
    </dgm:pt>
    <dgm:pt modelId="{04D5B1A8-F6C2-4F8D-BA3F-09CCBF22CD4F}" type="pres">
      <dgm:prSet presAssocID="{CE9673BF-51AA-4C2E-A62C-807615A5562B}" presName="rootConnector1" presStyleLbl="node1" presStyleIdx="0" presStyleCnt="0"/>
      <dgm:spPr/>
      <dgm:t>
        <a:bodyPr/>
        <a:lstStyle/>
        <a:p>
          <a:endParaRPr kumimoji="1" lang="ja-JP" altLang="en-US"/>
        </a:p>
      </dgm:t>
    </dgm:pt>
    <dgm:pt modelId="{F76E8FF2-B978-41F3-BCD5-0758DA7E4C83}" type="pres">
      <dgm:prSet presAssocID="{CE9673BF-51AA-4C2E-A62C-807615A5562B}" presName="hierChild2" presStyleCnt="0"/>
      <dgm:spPr/>
    </dgm:pt>
    <dgm:pt modelId="{CAE249FB-1DE2-49EB-B6FD-C37B190FEAFF}" type="pres">
      <dgm:prSet presAssocID="{A0DAFD87-9105-416B-BF5B-5DE06952BC1A}" presName="Name37" presStyleLbl="parChTrans1D2" presStyleIdx="0" presStyleCnt="2"/>
      <dgm:spPr/>
      <dgm:t>
        <a:bodyPr/>
        <a:lstStyle/>
        <a:p>
          <a:endParaRPr kumimoji="1" lang="ja-JP" altLang="en-US"/>
        </a:p>
      </dgm:t>
    </dgm:pt>
    <dgm:pt modelId="{11783277-9A7E-4929-B9AD-8B72354B8575}" type="pres">
      <dgm:prSet presAssocID="{15081DAF-37C7-49EC-8B47-9135784C11F4}" presName="hierRoot2" presStyleCnt="0">
        <dgm:presLayoutVars>
          <dgm:hierBranch val="init"/>
        </dgm:presLayoutVars>
      </dgm:prSet>
      <dgm:spPr/>
    </dgm:pt>
    <dgm:pt modelId="{35A2CAE4-744B-4ADE-B53F-FCF5ED9DF410}" type="pres">
      <dgm:prSet presAssocID="{15081DAF-37C7-49EC-8B47-9135784C11F4}" presName="rootComposite" presStyleCnt="0"/>
      <dgm:spPr/>
    </dgm:pt>
    <dgm:pt modelId="{A939DBF8-7C29-42BA-91AB-C402B243A3F6}" type="pres">
      <dgm:prSet presAssocID="{15081DAF-37C7-49EC-8B47-9135784C11F4}" presName="rootText" presStyleLbl="node2" presStyleIdx="0" presStyleCnt="2">
        <dgm:presLayoutVars>
          <dgm:chPref val="3"/>
        </dgm:presLayoutVars>
      </dgm:prSet>
      <dgm:spPr/>
      <dgm:t>
        <a:bodyPr/>
        <a:lstStyle/>
        <a:p>
          <a:endParaRPr kumimoji="1" lang="ja-JP" altLang="en-US"/>
        </a:p>
      </dgm:t>
    </dgm:pt>
    <dgm:pt modelId="{0A4C46D1-9121-4869-B3A3-664390DE7E08}" type="pres">
      <dgm:prSet presAssocID="{15081DAF-37C7-49EC-8B47-9135784C11F4}" presName="rootConnector" presStyleLbl="node2" presStyleIdx="0" presStyleCnt="2"/>
      <dgm:spPr/>
      <dgm:t>
        <a:bodyPr/>
        <a:lstStyle/>
        <a:p>
          <a:endParaRPr kumimoji="1" lang="ja-JP" altLang="en-US"/>
        </a:p>
      </dgm:t>
    </dgm:pt>
    <dgm:pt modelId="{A67E307E-3A6D-42CE-AA51-499B9EB2FCA4}" type="pres">
      <dgm:prSet presAssocID="{15081DAF-37C7-49EC-8B47-9135784C11F4}" presName="hierChild4" presStyleCnt="0"/>
      <dgm:spPr/>
    </dgm:pt>
    <dgm:pt modelId="{A0629634-024B-419A-8D72-D62BE2EFE8F3}" type="pres">
      <dgm:prSet presAssocID="{15081DAF-37C7-49EC-8B47-9135784C11F4}" presName="hierChild5" presStyleCnt="0"/>
      <dgm:spPr/>
    </dgm:pt>
    <dgm:pt modelId="{130C2E31-BB3F-4FD6-ACFF-CDFF37523A53}" type="pres">
      <dgm:prSet presAssocID="{B73A43B5-71B8-4827-8C43-B6EA832CE76D}" presName="Name37" presStyleLbl="parChTrans1D2" presStyleIdx="1" presStyleCnt="2"/>
      <dgm:spPr/>
      <dgm:t>
        <a:bodyPr/>
        <a:lstStyle/>
        <a:p>
          <a:endParaRPr kumimoji="1" lang="ja-JP" altLang="en-US"/>
        </a:p>
      </dgm:t>
    </dgm:pt>
    <dgm:pt modelId="{36477A12-F1E7-4902-9C61-E95B78968FDD}" type="pres">
      <dgm:prSet presAssocID="{C00C7BE6-092F-40F5-8208-42FEF5CE92C0}" presName="hierRoot2" presStyleCnt="0">
        <dgm:presLayoutVars>
          <dgm:hierBranch val="init"/>
        </dgm:presLayoutVars>
      </dgm:prSet>
      <dgm:spPr/>
    </dgm:pt>
    <dgm:pt modelId="{737A0A1C-9CBC-427C-96BE-B6F28687CC85}" type="pres">
      <dgm:prSet presAssocID="{C00C7BE6-092F-40F5-8208-42FEF5CE92C0}" presName="rootComposite" presStyleCnt="0"/>
      <dgm:spPr/>
    </dgm:pt>
    <dgm:pt modelId="{34D8533B-F664-4EEC-8684-E0AA90658AF4}" type="pres">
      <dgm:prSet presAssocID="{C00C7BE6-092F-40F5-8208-42FEF5CE92C0}" presName="rootText" presStyleLbl="node2" presStyleIdx="1" presStyleCnt="2">
        <dgm:presLayoutVars>
          <dgm:chPref val="3"/>
        </dgm:presLayoutVars>
      </dgm:prSet>
      <dgm:spPr/>
      <dgm:t>
        <a:bodyPr/>
        <a:lstStyle/>
        <a:p>
          <a:endParaRPr kumimoji="1" lang="ja-JP" altLang="en-US"/>
        </a:p>
      </dgm:t>
    </dgm:pt>
    <dgm:pt modelId="{EF656346-88CD-47D1-B7D7-7CBE6C8A4B6B}" type="pres">
      <dgm:prSet presAssocID="{C00C7BE6-092F-40F5-8208-42FEF5CE92C0}" presName="rootConnector" presStyleLbl="node2" presStyleIdx="1" presStyleCnt="2"/>
      <dgm:spPr/>
      <dgm:t>
        <a:bodyPr/>
        <a:lstStyle/>
        <a:p>
          <a:endParaRPr kumimoji="1" lang="ja-JP" altLang="en-US"/>
        </a:p>
      </dgm:t>
    </dgm:pt>
    <dgm:pt modelId="{F29C6337-CEC3-41BC-93D8-2B378A662116}" type="pres">
      <dgm:prSet presAssocID="{C00C7BE6-092F-40F5-8208-42FEF5CE92C0}" presName="hierChild4" presStyleCnt="0"/>
      <dgm:spPr/>
    </dgm:pt>
    <dgm:pt modelId="{BD994370-2796-4718-85F4-5C6B6A8C8D18}" type="pres">
      <dgm:prSet presAssocID="{C5E44F1B-F5F0-42A7-8EB0-7EACA41A0257}" presName="Name37" presStyleLbl="parChTrans1D3" presStyleIdx="0" presStyleCnt="2"/>
      <dgm:spPr/>
      <dgm:t>
        <a:bodyPr/>
        <a:lstStyle/>
        <a:p>
          <a:endParaRPr kumimoji="1" lang="ja-JP" altLang="en-US"/>
        </a:p>
      </dgm:t>
    </dgm:pt>
    <dgm:pt modelId="{3AEC82A5-1181-4DDD-BF6D-871F131E918F}" type="pres">
      <dgm:prSet presAssocID="{AEFFFCCC-495E-4937-A47F-CA4C7844DAC0}" presName="hierRoot2" presStyleCnt="0">
        <dgm:presLayoutVars>
          <dgm:hierBranch val="init"/>
        </dgm:presLayoutVars>
      </dgm:prSet>
      <dgm:spPr/>
    </dgm:pt>
    <dgm:pt modelId="{FA5B4687-9F50-4E6C-B62E-7D1845E268E0}" type="pres">
      <dgm:prSet presAssocID="{AEFFFCCC-495E-4937-A47F-CA4C7844DAC0}" presName="rootComposite" presStyleCnt="0"/>
      <dgm:spPr/>
    </dgm:pt>
    <dgm:pt modelId="{ACB4E088-DD21-4031-8858-2C0D24487B71}" type="pres">
      <dgm:prSet presAssocID="{AEFFFCCC-495E-4937-A47F-CA4C7844DAC0}" presName="rootText" presStyleLbl="node3" presStyleIdx="0" presStyleCnt="2">
        <dgm:presLayoutVars>
          <dgm:chPref val="3"/>
        </dgm:presLayoutVars>
      </dgm:prSet>
      <dgm:spPr/>
      <dgm:t>
        <a:bodyPr/>
        <a:lstStyle/>
        <a:p>
          <a:endParaRPr kumimoji="1" lang="ja-JP" altLang="en-US"/>
        </a:p>
      </dgm:t>
    </dgm:pt>
    <dgm:pt modelId="{AC12C277-D1B6-410F-AB32-3DBE379C6EF8}" type="pres">
      <dgm:prSet presAssocID="{AEFFFCCC-495E-4937-A47F-CA4C7844DAC0}" presName="rootConnector" presStyleLbl="node3" presStyleIdx="0" presStyleCnt="2"/>
      <dgm:spPr/>
      <dgm:t>
        <a:bodyPr/>
        <a:lstStyle/>
        <a:p>
          <a:endParaRPr kumimoji="1" lang="ja-JP" altLang="en-US"/>
        </a:p>
      </dgm:t>
    </dgm:pt>
    <dgm:pt modelId="{BCF0C70E-C100-45D4-BC62-AA4442F00AAC}" type="pres">
      <dgm:prSet presAssocID="{AEFFFCCC-495E-4937-A47F-CA4C7844DAC0}" presName="hierChild4" presStyleCnt="0"/>
      <dgm:spPr/>
    </dgm:pt>
    <dgm:pt modelId="{FC537086-59D2-4FA4-9262-3822A409FB09}" type="pres">
      <dgm:prSet presAssocID="{AEFFFCCC-495E-4937-A47F-CA4C7844DAC0}" presName="hierChild5" presStyleCnt="0"/>
      <dgm:spPr/>
    </dgm:pt>
    <dgm:pt modelId="{ECAA18F2-2A91-42E3-8591-AED21251053C}" type="pres">
      <dgm:prSet presAssocID="{58683D63-AE2D-4F84-A022-00BC4E9FC491}" presName="Name37" presStyleLbl="parChTrans1D3" presStyleIdx="1" presStyleCnt="2"/>
      <dgm:spPr/>
      <dgm:t>
        <a:bodyPr/>
        <a:lstStyle/>
        <a:p>
          <a:endParaRPr kumimoji="1" lang="ja-JP" altLang="en-US"/>
        </a:p>
      </dgm:t>
    </dgm:pt>
    <dgm:pt modelId="{3503D5D5-AF55-476A-92E0-4472C2CF7039}" type="pres">
      <dgm:prSet presAssocID="{5BD0592B-561C-461E-930E-5034156F31EA}" presName="hierRoot2" presStyleCnt="0">
        <dgm:presLayoutVars>
          <dgm:hierBranch val="init"/>
        </dgm:presLayoutVars>
      </dgm:prSet>
      <dgm:spPr/>
    </dgm:pt>
    <dgm:pt modelId="{3D6653F0-DC8F-4831-A3BB-4D4C7D20B98C}" type="pres">
      <dgm:prSet presAssocID="{5BD0592B-561C-461E-930E-5034156F31EA}" presName="rootComposite" presStyleCnt="0"/>
      <dgm:spPr/>
    </dgm:pt>
    <dgm:pt modelId="{8BBE28F2-D81F-4BE9-B9E7-0DFC60922136}" type="pres">
      <dgm:prSet presAssocID="{5BD0592B-561C-461E-930E-5034156F31EA}" presName="rootText" presStyleLbl="node3" presStyleIdx="1" presStyleCnt="2">
        <dgm:presLayoutVars>
          <dgm:chPref val="3"/>
        </dgm:presLayoutVars>
      </dgm:prSet>
      <dgm:spPr/>
      <dgm:t>
        <a:bodyPr/>
        <a:lstStyle/>
        <a:p>
          <a:endParaRPr kumimoji="1" lang="ja-JP" altLang="en-US"/>
        </a:p>
      </dgm:t>
    </dgm:pt>
    <dgm:pt modelId="{63746A42-6288-44DD-8A52-5D7CAD60E788}" type="pres">
      <dgm:prSet presAssocID="{5BD0592B-561C-461E-930E-5034156F31EA}" presName="rootConnector" presStyleLbl="node3" presStyleIdx="1" presStyleCnt="2"/>
      <dgm:spPr/>
      <dgm:t>
        <a:bodyPr/>
        <a:lstStyle/>
        <a:p>
          <a:endParaRPr kumimoji="1" lang="ja-JP" altLang="en-US"/>
        </a:p>
      </dgm:t>
    </dgm:pt>
    <dgm:pt modelId="{89DADC6F-C557-46AB-B9F1-F2D3F3EB5961}" type="pres">
      <dgm:prSet presAssocID="{5BD0592B-561C-461E-930E-5034156F31EA}" presName="hierChild4" presStyleCnt="0"/>
      <dgm:spPr/>
    </dgm:pt>
    <dgm:pt modelId="{2DCB40DC-61E7-4BA6-B849-22CF99DA70A8}" type="pres">
      <dgm:prSet presAssocID="{5BD0592B-561C-461E-930E-5034156F31EA}" presName="hierChild5" presStyleCnt="0"/>
      <dgm:spPr/>
    </dgm:pt>
    <dgm:pt modelId="{4352C6CA-8833-44C3-9532-38BA97C61A38}" type="pres">
      <dgm:prSet presAssocID="{C00C7BE6-092F-40F5-8208-42FEF5CE92C0}" presName="hierChild5" presStyleCnt="0"/>
      <dgm:spPr/>
    </dgm:pt>
    <dgm:pt modelId="{8EC81674-47EE-4CF6-BC5E-515B04E0A61A}" type="pres">
      <dgm:prSet presAssocID="{CE9673BF-51AA-4C2E-A62C-807615A5562B}" presName="hierChild3" presStyleCnt="0"/>
      <dgm:spPr/>
    </dgm:pt>
  </dgm:ptLst>
  <dgm:cxnLst>
    <dgm:cxn modelId="{CDDA48C3-6983-451B-9AAF-573CBF79DD36}" type="presOf" srcId="{B73A43B5-71B8-4827-8C43-B6EA832CE76D}" destId="{130C2E31-BB3F-4FD6-ACFF-CDFF37523A53}" srcOrd="0" destOrd="0" presId="urn:microsoft.com/office/officeart/2005/8/layout/orgChart1"/>
    <dgm:cxn modelId="{A857035D-4C80-48A5-8DCE-716E3C89F822}" type="presOf" srcId="{AEFFFCCC-495E-4937-A47F-CA4C7844DAC0}" destId="{ACB4E088-DD21-4031-8858-2C0D24487B71}" srcOrd="0" destOrd="0" presId="urn:microsoft.com/office/officeart/2005/8/layout/orgChart1"/>
    <dgm:cxn modelId="{8A6D6D33-60BA-4570-87CE-97D54F3246C1}" type="presOf" srcId="{AEFFFCCC-495E-4937-A47F-CA4C7844DAC0}" destId="{AC12C277-D1B6-410F-AB32-3DBE379C6EF8}" srcOrd="1" destOrd="0" presId="urn:microsoft.com/office/officeart/2005/8/layout/orgChart1"/>
    <dgm:cxn modelId="{AC8029A9-6BD2-47BC-B7F7-CA1BC3737644}" srcId="{10F56C55-573C-4C2A-8960-318D5A268223}" destId="{CE9673BF-51AA-4C2E-A62C-807615A5562B}" srcOrd="0" destOrd="0" parTransId="{F2E5B4A9-3673-4D4B-9513-469DE3267CE9}" sibTransId="{4C4C75C4-FD4A-415F-8A71-DA407E5A395E}"/>
    <dgm:cxn modelId="{F774B1A7-D33C-4161-9108-E2F37A8C5F6C}" srcId="{CE9673BF-51AA-4C2E-A62C-807615A5562B}" destId="{15081DAF-37C7-49EC-8B47-9135784C11F4}" srcOrd="0" destOrd="0" parTransId="{A0DAFD87-9105-416B-BF5B-5DE06952BC1A}" sibTransId="{262D5FFF-3565-4D9B-9AC2-6B83DBADFA5D}"/>
    <dgm:cxn modelId="{EF6A9B2D-BA2C-48CB-A62C-BB67725E74EC}" type="presOf" srcId="{15081DAF-37C7-49EC-8B47-9135784C11F4}" destId="{0A4C46D1-9121-4869-B3A3-664390DE7E08}" srcOrd="1" destOrd="0" presId="urn:microsoft.com/office/officeart/2005/8/layout/orgChart1"/>
    <dgm:cxn modelId="{6B70724C-9005-475C-878A-B106588DE16F}" type="presOf" srcId="{C00C7BE6-092F-40F5-8208-42FEF5CE92C0}" destId="{EF656346-88CD-47D1-B7D7-7CBE6C8A4B6B}" srcOrd="1" destOrd="0" presId="urn:microsoft.com/office/officeart/2005/8/layout/orgChart1"/>
    <dgm:cxn modelId="{34A1D356-9CFB-4A9F-A0FC-4565A1351720}" type="presOf" srcId="{5BD0592B-561C-461E-930E-5034156F31EA}" destId="{8BBE28F2-D81F-4BE9-B9E7-0DFC60922136}" srcOrd="0" destOrd="0" presId="urn:microsoft.com/office/officeart/2005/8/layout/orgChart1"/>
    <dgm:cxn modelId="{8E78CD9A-8213-4035-9ACE-890754579353}" type="presOf" srcId="{CE9673BF-51AA-4C2E-A62C-807615A5562B}" destId="{F36BE8FA-C6BD-40AF-8DE7-CC34DBEF4898}" srcOrd="0" destOrd="0" presId="urn:microsoft.com/office/officeart/2005/8/layout/orgChart1"/>
    <dgm:cxn modelId="{03195E02-159D-4D27-94C0-3A4180DD759C}" type="presOf" srcId="{10F56C55-573C-4C2A-8960-318D5A268223}" destId="{0758E1B5-47BC-482B-A633-B75B11037445}" srcOrd="0" destOrd="0" presId="urn:microsoft.com/office/officeart/2005/8/layout/orgChart1"/>
    <dgm:cxn modelId="{6617939A-4174-43A3-BE16-B99D12C74E7D}" srcId="{C00C7BE6-092F-40F5-8208-42FEF5CE92C0}" destId="{AEFFFCCC-495E-4937-A47F-CA4C7844DAC0}" srcOrd="0" destOrd="0" parTransId="{C5E44F1B-F5F0-42A7-8EB0-7EACA41A0257}" sibTransId="{A175F22E-6EAC-4A27-8F31-72E4A018D7BD}"/>
    <dgm:cxn modelId="{1940C8A2-C42D-46E6-A62B-2D3F43299332}" srcId="{C00C7BE6-092F-40F5-8208-42FEF5CE92C0}" destId="{5BD0592B-561C-461E-930E-5034156F31EA}" srcOrd="1" destOrd="0" parTransId="{58683D63-AE2D-4F84-A022-00BC4E9FC491}" sibTransId="{3CF65A1E-89EE-4651-94E6-C4A36E49EE5B}"/>
    <dgm:cxn modelId="{B0DD65A1-1938-4E60-AE31-546329979A9C}" type="presOf" srcId="{15081DAF-37C7-49EC-8B47-9135784C11F4}" destId="{A939DBF8-7C29-42BA-91AB-C402B243A3F6}" srcOrd="0" destOrd="0" presId="urn:microsoft.com/office/officeart/2005/8/layout/orgChart1"/>
    <dgm:cxn modelId="{D915AED7-BBB9-4D2C-B921-28840A0F4AEF}" srcId="{CE9673BF-51AA-4C2E-A62C-807615A5562B}" destId="{C00C7BE6-092F-40F5-8208-42FEF5CE92C0}" srcOrd="1" destOrd="0" parTransId="{B73A43B5-71B8-4827-8C43-B6EA832CE76D}" sibTransId="{7AD21E19-1518-4BEF-AE59-743F4FCC8474}"/>
    <dgm:cxn modelId="{8279666C-2189-4BCA-A711-5F9B371706AE}" type="presOf" srcId="{58683D63-AE2D-4F84-A022-00BC4E9FC491}" destId="{ECAA18F2-2A91-42E3-8591-AED21251053C}" srcOrd="0" destOrd="0" presId="urn:microsoft.com/office/officeart/2005/8/layout/orgChart1"/>
    <dgm:cxn modelId="{02ABD611-A091-4341-A660-CD5C794181A2}" type="presOf" srcId="{A0DAFD87-9105-416B-BF5B-5DE06952BC1A}" destId="{CAE249FB-1DE2-49EB-B6FD-C37B190FEAFF}" srcOrd="0" destOrd="0" presId="urn:microsoft.com/office/officeart/2005/8/layout/orgChart1"/>
    <dgm:cxn modelId="{F2F7A153-DA52-44F4-BEF6-702C1DD99C76}" type="presOf" srcId="{C5E44F1B-F5F0-42A7-8EB0-7EACA41A0257}" destId="{BD994370-2796-4718-85F4-5C6B6A8C8D18}" srcOrd="0" destOrd="0" presId="urn:microsoft.com/office/officeart/2005/8/layout/orgChart1"/>
    <dgm:cxn modelId="{C38F2DE5-6396-46AE-A150-71EE68EE31FE}" type="presOf" srcId="{CE9673BF-51AA-4C2E-A62C-807615A5562B}" destId="{04D5B1A8-F6C2-4F8D-BA3F-09CCBF22CD4F}" srcOrd="1" destOrd="0" presId="urn:microsoft.com/office/officeart/2005/8/layout/orgChart1"/>
    <dgm:cxn modelId="{E3CE8482-3297-46FD-87A3-A7AB21AB6288}" type="presOf" srcId="{C00C7BE6-092F-40F5-8208-42FEF5CE92C0}" destId="{34D8533B-F664-4EEC-8684-E0AA90658AF4}" srcOrd="0" destOrd="0" presId="urn:microsoft.com/office/officeart/2005/8/layout/orgChart1"/>
    <dgm:cxn modelId="{ACF01B8A-6761-4C3A-AC49-69D8653E14A9}" type="presOf" srcId="{5BD0592B-561C-461E-930E-5034156F31EA}" destId="{63746A42-6288-44DD-8A52-5D7CAD60E788}" srcOrd="1" destOrd="0" presId="urn:microsoft.com/office/officeart/2005/8/layout/orgChart1"/>
    <dgm:cxn modelId="{4E06C1AF-5F16-42D9-8B5F-654B652368BF}" type="presParOf" srcId="{0758E1B5-47BC-482B-A633-B75B11037445}" destId="{2A37D473-1243-4BCC-B76D-9B430DF46564}" srcOrd="0" destOrd="0" presId="urn:microsoft.com/office/officeart/2005/8/layout/orgChart1"/>
    <dgm:cxn modelId="{D268DDA0-F315-414F-9ADF-7E7630BE6332}" type="presParOf" srcId="{2A37D473-1243-4BCC-B76D-9B430DF46564}" destId="{5AAC6A8B-A872-4996-A8A9-EC8AB3CFCA15}" srcOrd="0" destOrd="0" presId="urn:microsoft.com/office/officeart/2005/8/layout/orgChart1"/>
    <dgm:cxn modelId="{DD1124CC-E247-48AD-98FB-04AF3B32879F}" type="presParOf" srcId="{5AAC6A8B-A872-4996-A8A9-EC8AB3CFCA15}" destId="{F36BE8FA-C6BD-40AF-8DE7-CC34DBEF4898}" srcOrd="0" destOrd="0" presId="urn:microsoft.com/office/officeart/2005/8/layout/orgChart1"/>
    <dgm:cxn modelId="{8B68F62C-43D8-45BA-92B8-806F0EB6D4FF}" type="presParOf" srcId="{5AAC6A8B-A872-4996-A8A9-EC8AB3CFCA15}" destId="{04D5B1A8-F6C2-4F8D-BA3F-09CCBF22CD4F}" srcOrd="1" destOrd="0" presId="urn:microsoft.com/office/officeart/2005/8/layout/orgChart1"/>
    <dgm:cxn modelId="{F8E18E6D-AB94-40FD-A7F8-70A2E4BB1547}" type="presParOf" srcId="{2A37D473-1243-4BCC-B76D-9B430DF46564}" destId="{F76E8FF2-B978-41F3-BCD5-0758DA7E4C83}" srcOrd="1" destOrd="0" presId="urn:microsoft.com/office/officeart/2005/8/layout/orgChart1"/>
    <dgm:cxn modelId="{5DFD9B8D-DEA8-41B1-AF60-9AE6AF9A1758}" type="presParOf" srcId="{F76E8FF2-B978-41F3-BCD5-0758DA7E4C83}" destId="{CAE249FB-1DE2-49EB-B6FD-C37B190FEAFF}" srcOrd="0" destOrd="0" presId="urn:microsoft.com/office/officeart/2005/8/layout/orgChart1"/>
    <dgm:cxn modelId="{56E99301-F3E2-43A2-94F8-8ECEEC7B60E7}" type="presParOf" srcId="{F76E8FF2-B978-41F3-BCD5-0758DA7E4C83}" destId="{11783277-9A7E-4929-B9AD-8B72354B8575}" srcOrd="1" destOrd="0" presId="urn:microsoft.com/office/officeart/2005/8/layout/orgChart1"/>
    <dgm:cxn modelId="{8863A39E-60AE-4FA0-B8FB-C02EE76B4761}" type="presParOf" srcId="{11783277-9A7E-4929-B9AD-8B72354B8575}" destId="{35A2CAE4-744B-4ADE-B53F-FCF5ED9DF410}" srcOrd="0" destOrd="0" presId="urn:microsoft.com/office/officeart/2005/8/layout/orgChart1"/>
    <dgm:cxn modelId="{527D072C-EEF2-4E15-B125-95B524377C95}" type="presParOf" srcId="{35A2CAE4-744B-4ADE-B53F-FCF5ED9DF410}" destId="{A939DBF8-7C29-42BA-91AB-C402B243A3F6}" srcOrd="0" destOrd="0" presId="urn:microsoft.com/office/officeart/2005/8/layout/orgChart1"/>
    <dgm:cxn modelId="{6003AC75-2F7E-40A3-8DAB-A886A1FD05DC}" type="presParOf" srcId="{35A2CAE4-744B-4ADE-B53F-FCF5ED9DF410}" destId="{0A4C46D1-9121-4869-B3A3-664390DE7E08}" srcOrd="1" destOrd="0" presId="urn:microsoft.com/office/officeart/2005/8/layout/orgChart1"/>
    <dgm:cxn modelId="{7FA83DB7-FC18-47AD-B5F4-D747B64A73BF}" type="presParOf" srcId="{11783277-9A7E-4929-B9AD-8B72354B8575}" destId="{A67E307E-3A6D-42CE-AA51-499B9EB2FCA4}" srcOrd="1" destOrd="0" presId="urn:microsoft.com/office/officeart/2005/8/layout/orgChart1"/>
    <dgm:cxn modelId="{89EF0B3E-530D-4CD3-8590-78542832CDD6}" type="presParOf" srcId="{11783277-9A7E-4929-B9AD-8B72354B8575}" destId="{A0629634-024B-419A-8D72-D62BE2EFE8F3}" srcOrd="2" destOrd="0" presId="urn:microsoft.com/office/officeart/2005/8/layout/orgChart1"/>
    <dgm:cxn modelId="{5032460D-8334-4FD9-843D-082B8995280A}" type="presParOf" srcId="{F76E8FF2-B978-41F3-BCD5-0758DA7E4C83}" destId="{130C2E31-BB3F-4FD6-ACFF-CDFF37523A53}" srcOrd="2" destOrd="0" presId="urn:microsoft.com/office/officeart/2005/8/layout/orgChart1"/>
    <dgm:cxn modelId="{41E98AFD-B2AD-483C-9DDA-1EE3F0E92BE3}" type="presParOf" srcId="{F76E8FF2-B978-41F3-BCD5-0758DA7E4C83}" destId="{36477A12-F1E7-4902-9C61-E95B78968FDD}" srcOrd="3" destOrd="0" presId="urn:microsoft.com/office/officeart/2005/8/layout/orgChart1"/>
    <dgm:cxn modelId="{9EAEDD4D-8172-4CF8-A1DE-E02386B4DF71}" type="presParOf" srcId="{36477A12-F1E7-4902-9C61-E95B78968FDD}" destId="{737A0A1C-9CBC-427C-96BE-B6F28687CC85}" srcOrd="0" destOrd="0" presId="urn:microsoft.com/office/officeart/2005/8/layout/orgChart1"/>
    <dgm:cxn modelId="{98251F3E-C765-4BE3-9B53-6750483572B3}" type="presParOf" srcId="{737A0A1C-9CBC-427C-96BE-B6F28687CC85}" destId="{34D8533B-F664-4EEC-8684-E0AA90658AF4}" srcOrd="0" destOrd="0" presId="urn:microsoft.com/office/officeart/2005/8/layout/orgChart1"/>
    <dgm:cxn modelId="{4C46F398-5C8A-455B-9B88-B77EFA560274}" type="presParOf" srcId="{737A0A1C-9CBC-427C-96BE-B6F28687CC85}" destId="{EF656346-88CD-47D1-B7D7-7CBE6C8A4B6B}" srcOrd="1" destOrd="0" presId="urn:microsoft.com/office/officeart/2005/8/layout/orgChart1"/>
    <dgm:cxn modelId="{E8EF17AA-D3FC-4B19-B395-EEC65AB9D7B2}" type="presParOf" srcId="{36477A12-F1E7-4902-9C61-E95B78968FDD}" destId="{F29C6337-CEC3-41BC-93D8-2B378A662116}" srcOrd="1" destOrd="0" presId="urn:microsoft.com/office/officeart/2005/8/layout/orgChart1"/>
    <dgm:cxn modelId="{C89F129E-A998-42BF-A19E-5EDEEF485561}" type="presParOf" srcId="{F29C6337-CEC3-41BC-93D8-2B378A662116}" destId="{BD994370-2796-4718-85F4-5C6B6A8C8D18}" srcOrd="0" destOrd="0" presId="urn:microsoft.com/office/officeart/2005/8/layout/orgChart1"/>
    <dgm:cxn modelId="{F91C328C-05AE-4703-B241-D27CD7C6CF26}" type="presParOf" srcId="{F29C6337-CEC3-41BC-93D8-2B378A662116}" destId="{3AEC82A5-1181-4DDD-BF6D-871F131E918F}" srcOrd="1" destOrd="0" presId="urn:microsoft.com/office/officeart/2005/8/layout/orgChart1"/>
    <dgm:cxn modelId="{56926339-95E9-4774-AFF0-0806E7AA7EA7}" type="presParOf" srcId="{3AEC82A5-1181-4DDD-BF6D-871F131E918F}" destId="{FA5B4687-9F50-4E6C-B62E-7D1845E268E0}" srcOrd="0" destOrd="0" presId="urn:microsoft.com/office/officeart/2005/8/layout/orgChart1"/>
    <dgm:cxn modelId="{909CFCFB-B876-4DD0-A396-B66DF76C5449}" type="presParOf" srcId="{FA5B4687-9F50-4E6C-B62E-7D1845E268E0}" destId="{ACB4E088-DD21-4031-8858-2C0D24487B71}" srcOrd="0" destOrd="0" presId="urn:microsoft.com/office/officeart/2005/8/layout/orgChart1"/>
    <dgm:cxn modelId="{7014EB65-B7A6-4D9C-8A24-D70D655E99C3}" type="presParOf" srcId="{FA5B4687-9F50-4E6C-B62E-7D1845E268E0}" destId="{AC12C277-D1B6-410F-AB32-3DBE379C6EF8}" srcOrd="1" destOrd="0" presId="urn:microsoft.com/office/officeart/2005/8/layout/orgChart1"/>
    <dgm:cxn modelId="{E3E1D499-733B-4194-B4E9-9A05DF951E9E}" type="presParOf" srcId="{3AEC82A5-1181-4DDD-BF6D-871F131E918F}" destId="{BCF0C70E-C100-45D4-BC62-AA4442F00AAC}" srcOrd="1" destOrd="0" presId="urn:microsoft.com/office/officeart/2005/8/layout/orgChart1"/>
    <dgm:cxn modelId="{A9484241-DF8E-423E-9B2C-2781DEC5E03C}" type="presParOf" srcId="{3AEC82A5-1181-4DDD-BF6D-871F131E918F}" destId="{FC537086-59D2-4FA4-9262-3822A409FB09}" srcOrd="2" destOrd="0" presId="urn:microsoft.com/office/officeart/2005/8/layout/orgChart1"/>
    <dgm:cxn modelId="{65C2A2B5-844F-4020-A0C3-5664DF6A9F34}" type="presParOf" srcId="{F29C6337-CEC3-41BC-93D8-2B378A662116}" destId="{ECAA18F2-2A91-42E3-8591-AED21251053C}" srcOrd="2" destOrd="0" presId="urn:microsoft.com/office/officeart/2005/8/layout/orgChart1"/>
    <dgm:cxn modelId="{95D17278-0024-4A4E-84CE-69DC4D6CAE04}" type="presParOf" srcId="{F29C6337-CEC3-41BC-93D8-2B378A662116}" destId="{3503D5D5-AF55-476A-92E0-4472C2CF7039}" srcOrd="3" destOrd="0" presId="urn:microsoft.com/office/officeart/2005/8/layout/orgChart1"/>
    <dgm:cxn modelId="{D6BA0FB2-7F83-4E44-B22E-1A7293FBAC3C}" type="presParOf" srcId="{3503D5D5-AF55-476A-92E0-4472C2CF7039}" destId="{3D6653F0-DC8F-4831-A3BB-4D4C7D20B98C}" srcOrd="0" destOrd="0" presId="urn:microsoft.com/office/officeart/2005/8/layout/orgChart1"/>
    <dgm:cxn modelId="{C6DD1637-720A-4B27-BF50-B6BF96941A31}" type="presParOf" srcId="{3D6653F0-DC8F-4831-A3BB-4D4C7D20B98C}" destId="{8BBE28F2-D81F-4BE9-B9E7-0DFC60922136}" srcOrd="0" destOrd="0" presId="urn:microsoft.com/office/officeart/2005/8/layout/orgChart1"/>
    <dgm:cxn modelId="{10723C04-3BAF-414B-845B-5E8D9943B3FA}" type="presParOf" srcId="{3D6653F0-DC8F-4831-A3BB-4D4C7D20B98C}" destId="{63746A42-6288-44DD-8A52-5D7CAD60E788}" srcOrd="1" destOrd="0" presId="urn:microsoft.com/office/officeart/2005/8/layout/orgChart1"/>
    <dgm:cxn modelId="{E85661C6-B815-4019-A459-971D2673B977}" type="presParOf" srcId="{3503D5D5-AF55-476A-92E0-4472C2CF7039}" destId="{89DADC6F-C557-46AB-B9F1-F2D3F3EB5961}" srcOrd="1" destOrd="0" presId="urn:microsoft.com/office/officeart/2005/8/layout/orgChart1"/>
    <dgm:cxn modelId="{B6A43961-FE68-4307-9E66-7DA4A4CD03B8}" type="presParOf" srcId="{3503D5D5-AF55-476A-92E0-4472C2CF7039}" destId="{2DCB40DC-61E7-4BA6-B849-22CF99DA70A8}" srcOrd="2" destOrd="0" presId="urn:microsoft.com/office/officeart/2005/8/layout/orgChart1"/>
    <dgm:cxn modelId="{865E5D9A-C3BA-4D18-BEBC-05CD6F4BD16F}" type="presParOf" srcId="{36477A12-F1E7-4902-9C61-E95B78968FDD}" destId="{4352C6CA-8833-44C3-9532-38BA97C61A38}" srcOrd="2" destOrd="0" presId="urn:microsoft.com/office/officeart/2005/8/layout/orgChart1"/>
    <dgm:cxn modelId="{958BBCC1-9EE9-47AF-A6E5-7B048260309A}" type="presParOf" srcId="{2A37D473-1243-4BCC-B76D-9B430DF46564}" destId="{8EC81674-47EE-4CF6-BC5E-515B04E0A61A}"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0F56C55-573C-4C2A-8960-318D5A268223}"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kumimoji="1" lang="ja-JP" altLang="en-US"/>
        </a:p>
      </dgm:t>
    </dgm:pt>
    <dgm:pt modelId="{CE9673BF-51AA-4C2E-A62C-807615A5562B}">
      <dgm:prSet phldrT="[テキスト]"/>
      <dgm:spPr/>
      <dgm:t>
        <a:bodyPr/>
        <a:lstStyle/>
        <a:p>
          <a:pPr algn="ctr"/>
          <a:r>
            <a:rPr kumimoji="1" lang="ja-JP" altLang="en-US"/>
            <a:t>全国高体連</a:t>
          </a:r>
        </a:p>
      </dgm:t>
    </dgm:pt>
    <dgm:pt modelId="{4C4C75C4-FD4A-415F-8A71-DA407E5A395E}" type="sibTrans" cxnId="{AC8029A9-6BD2-47BC-B7F7-CA1BC3737644}">
      <dgm:prSet/>
      <dgm:spPr/>
      <dgm:t>
        <a:bodyPr/>
        <a:lstStyle/>
        <a:p>
          <a:pPr algn="ctr"/>
          <a:endParaRPr kumimoji="1" lang="ja-JP" altLang="en-US"/>
        </a:p>
      </dgm:t>
    </dgm:pt>
    <dgm:pt modelId="{F2E5B4A9-3673-4D4B-9513-469DE3267CE9}" type="parTrans" cxnId="{AC8029A9-6BD2-47BC-B7F7-CA1BC3737644}">
      <dgm:prSet/>
      <dgm:spPr/>
      <dgm:t>
        <a:bodyPr/>
        <a:lstStyle/>
        <a:p>
          <a:pPr algn="ctr"/>
          <a:endParaRPr kumimoji="1" lang="ja-JP" altLang="en-US"/>
        </a:p>
      </dgm:t>
    </dgm:pt>
    <dgm:pt modelId="{15081DAF-37C7-49EC-8B47-9135784C11F4}">
      <dgm:prSet/>
      <dgm:spPr/>
      <dgm:t>
        <a:bodyPr/>
        <a:lstStyle/>
        <a:p>
          <a:pPr algn="ctr"/>
          <a:r>
            <a:rPr kumimoji="1" lang="ja-JP" altLang="en-US"/>
            <a:t>全国各専門部</a:t>
          </a:r>
        </a:p>
      </dgm:t>
    </dgm:pt>
    <dgm:pt modelId="{A0DAFD87-9105-416B-BF5B-5DE06952BC1A}" type="parTrans" cxnId="{F774B1A7-D33C-4161-9108-E2F37A8C5F6C}">
      <dgm:prSet/>
      <dgm:spPr/>
      <dgm:t>
        <a:bodyPr/>
        <a:lstStyle/>
        <a:p>
          <a:pPr algn="ctr"/>
          <a:endParaRPr kumimoji="1" lang="ja-JP" altLang="en-US"/>
        </a:p>
      </dgm:t>
    </dgm:pt>
    <dgm:pt modelId="{262D5FFF-3565-4D9B-9AC2-6B83DBADFA5D}" type="sibTrans" cxnId="{F774B1A7-D33C-4161-9108-E2F37A8C5F6C}">
      <dgm:prSet/>
      <dgm:spPr/>
      <dgm:t>
        <a:bodyPr/>
        <a:lstStyle/>
        <a:p>
          <a:pPr algn="ctr"/>
          <a:endParaRPr kumimoji="1" lang="ja-JP" altLang="en-US"/>
        </a:p>
      </dgm:t>
    </dgm:pt>
    <dgm:pt modelId="{C00C7BE6-092F-40F5-8208-42FEF5CE92C0}">
      <dgm:prSet/>
      <dgm:spPr/>
      <dgm:t>
        <a:bodyPr/>
        <a:lstStyle/>
        <a:p>
          <a:pPr algn="ctr"/>
          <a:r>
            <a:rPr kumimoji="1" lang="ja-JP" altLang="en-US"/>
            <a:t>全国高体連弓道専門部</a:t>
          </a:r>
        </a:p>
      </dgm:t>
    </dgm:pt>
    <dgm:pt modelId="{B73A43B5-71B8-4827-8C43-B6EA832CE76D}" type="parTrans" cxnId="{D915AED7-BBB9-4D2C-B921-28840A0F4AEF}">
      <dgm:prSet/>
      <dgm:spPr/>
      <dgm:t>
        <a:bodyPr/>
        <a:lstStyle/>
        <a:p>
          <a:pPr algn="ctr"/>
          <a:endParaRPr kumimoji="1" lang="ja-JP" altLang="en-US"/>
        </a:p>
      </dgm:t>
    </dgm:pt>
    <dgm:pt modelId="{7AD21E19-1518-4BEF-AE59-743F4FCC8474}" type="sibTrans" cxnId="{D915AED7-BBB9-4D2C-B921-28840A0F4AEF}">
      <dgm:prSet/>
      <dgm:spPr/>
      <dgm:t>
        <a:bodyPr/>
        <a:lstStyle/>
        <a:p>
          <a:pPr algn="ctr"/>
          <a:endParaRPr kumimoji="1" lang="ja-JP" altLang="en-US"/>
        </a:p>
      </dgm:t>
    </dgm:pt>
    <dgm:pt modelId="{AEFFFCCC-495E-4937-A47F-CA4C7844DAC0}">
      <dgm:prSet/>
      <dgm:spPr/>
      <dgm:t>
        <a:bodyPr/>
        <a:lstStyle/>
        <a:p>
          <a:pPr algn="ctr"/>
          <a:r>
            <a:rPr kumimoji="1" lang="ja-JP" altLang="en-US"/>
            <a:t>各道府県高体連弓道専門部</a:t>
          </a:r>
        </a:p>
      </dgm:t>
    </dgm:pt>
    <dgm:pt modelId="{C5E44F1B-F5F0-42A7-8EB0-7EACA41A0257}" type="parTrans" cxnId="{6617939A-4174-43A3-BE16-B99D12C74E7D}">
      <dgm:prSet/>
      <dgm:spPr/>
      <dgm:t>
        <a:bodyPr/>
        <a:lstStyle/>
        <a:p>
          <a:pPr algn="ctr"/>
          <a:endParaRPr kumimoji="1" lang="ja-JP" altLang="en-US"/>
        </a:p>
      </dgm:t>
    </dgm:pt>
    <dgm:pt modelId="{A175F22E-6EAC-4A27-8F31-72E4A018D7BD}" type="sibTrans" cxnId="{6617939A-4174-43A3-BE16-B99D12C74E7D}">
      <dgm:prSet/>
      <dgm:spPr/>
      <dgm:t>
        <a:bodyPr/>
        <a:lstStyle/>
        <a:p>
          <a:pPr algn="ctr"/>
          <a:endParaRPr kumimoji="1" lang="ja-JP" altLang="en-US"/>
        </a:p>
      </dgm:t>
    </dgm:pt>
    <dgm:pt modelId="{5BD0592B-561C-461E-930E-5034156F31EA}">
      <dgm:prSet/>
      <dgm:spPr/>
      <dgm:t>
        <a:bodyPr/>
        <a:lstStyle/>
        <a:p>
          <a:pPr algn="ctr"/>
          <a:r>
            <a:rPr kumimoji="1" lang="ja-JP" altLang="en-US"/>
            <a:t>群馬県高体連弓道専門部</a:t>
          </a:r>
        </a:p>
      </dgm:t>
    </dgm:pt>
    <dgm:pt modelId="{58683D63-AE2D-4F84-A022-00BC4E9FC491}" type="parTrans" cxnId="{1940C8A2-C42D-46E6-A62B-2D3F43299332}">
      <dgm:prSet/>
      <dgm:spPr/>
      <dgm:t>
        <a:bodyPr/>
        <a:lstStyle/>
        <a:p>
          <a:pPr algn="ctr"/>
          <a:endParaRPr kumimoji="1" lang="ja-JP" altLang="en-US"/>
        </a:p>
      </dgm:t>
    </dgm:pt>
    <dgm:pt modelId="{3CF65A1E-89EE-4651-94E6-C4A36E49EE5B}" type="sibTrans" cxnId="{1940C8A2-C42D-46E6-A62B-2D3F43299332}">
      <dgm:prSet/>
      <dgm:spPr/>
      <dgm:t>
        <a:bodyPr/>
        <a:lstStyle/>
        <a:p>
          <a:pPr algn="ctr"/>
          <a:endParaRPr kumimoji="1" lang="ja-JP" altLang="en-US"/>
        </a:p>
      </dgm:t>
    </dgm:pt>
    <dgm:pt modelId="{0758E1B5-47BC-482B-A633-B75B11037445}" type="pres">
      <dgm:prSet presAssocID="{10F56C55-573C-4C2A-8960-318D5A268223}" presName="hierChild1" presStyleCnt="0">
        <dgm:presLayoutVars>
          <dgm:orgChart val="1"/>
          <dgm:chPref val="1"/>
          <dgm:dir/>
          <dgm:animOne val="branch"/>
          <dgm:animLvl val="lvl"/>
          <dgm:resizeHandles/>
        </dgm:presLayoutVars>
      </dgm:prSet>
      <dgm:spPr/>
      <dgm:t>
        <a:bodyPr/>
        <a:lstStyle/>
        <a:p>
          <a:endParaRPr kumimoji="1" lang="ja-JP" altLang="en-US"/>
        </a:p>
      </dgm:t>
    </dgm:pt>
    <dgm:pt modelId="{2A37D473-1243-4BCC-B76D-9B430DF46564}" type="pres">
      <dgm:prSet presAssocID="{CE9673BF-51AA-4C2E-A62C-807615A5562B}" presName="hierRoot1" presStyleCnt="0">
        <dgm:presLayoutVars>
          <dgm:hierBranch val="init"/>
        </dgm:presLayoutVars>
      </dgm:prSet>
      <dgm:spPr/>
    </dgm:pt>
    <dgm:pt modelId="{5AAC6A8B-A872-4996-A8A9-EC8AB3CFCA15}" type="pres">
      <dgm:prSet presAssocID="{CE9673BF-51AA-4C2E-A62C-807615A5562B}" presName="rootComposite1" presStyleCnt="0"/>
      <dgm:spPr/>
    </dgm:pt>
    <dgm:pt modelId="{F36BE8FA-C6BD-40AF-8DE7-CC34DBEF4898}" type="pres">
      <dgm:prSet presAssocID="{CE9673BF-51AA-4C2E-A62C-807615A5562B}" presName="rootText1" presStyleLbl="node0" presStyleIdx="0" presStyleCnt="1">
        <dgm:presLayoutVars>
          <dgm:chPref val="3"/>
        </dgm:presLayoutVars>
      </dgm:prSet>
      <dgm:spPr/>
      <dgm:t>
        <a:bodyPr/>
        <a:lstStyle/>
        <a:p>
          <a:endParaRPr kumimoji="1" lang="ja-JP" altLang="en-US"/>
        </a:p>
      </dgm:t>
    </dgm:pt>
    <dgm:pt modelId="{04D5B1A8-F6C2-4F8D-BA3F-09CCBF22CD4F}" type="pres">
      <dgm:prSet presAssocID="{CE9673BF-51AA-4C2E-A62C-807615A5562B}" presName="rootConnector1" presStyleLbl="node1" presStyleIdx="0" presStyleCnt="0"/>
      <dgm:spPr/>
      <dgm:t>
        <a:bodyPr/>
        <a:lstStyle/>
        <a:p>
          <a:endParaRPr kumimoji="1" lang="ja-JP" altLang="en-US"/>
        </a:p>
      </dgm:t>
    </dgm:pt>
    <dgm:pt modelId="{F76E8FF2-B978-41F3-BCD5-0758DA7E4C83}" type="pres">
      <dgm:prSet presAssocID="{CE9673BF-51AA-4C2E-A62C-807615A5562B}" presName="hierChild2" presStyleCnt="0"/>
      <dgm:spPr/>
    </dgm:pt>
    <dgm:pt modelId="{CAE249FB-1DE2-49EB-B6FD-C37B190FEAFF}" type="pres">
      <dgm:prSet presAssocID="{A0DAFD87-9105-416B-BF5B-5DE06952BC1A}" presName="Name37" presStyleLbl="parChTrans1D2" presStyleIdx="0" presStyleCnt="2"/>
      <dgm:spPr/>
      <dgm:t>
        <a:bodyPr/>
        <a:lstStyle/>
        <a:p>
          <a:endParaRPr kumimoji="1" lang="ja-JP" altLang="en-US"/>
        </a:p>
      </dgm:t>
    </dgm:pt>
    <dgm:pt modelId="{11783277-9A7E-4929-B9AD-8B72354B8575}" type="pres">
      <dgm:prSet presAssocID="{15081DAF-37C7-49EC-8B47-9135784C11F4}" presName="hierRoot2" presStyleCnt="0">
        <dgm:presLayoutVars>
          <dgm:hierBranch val="init"/>
        </dgm:presLayoutVars>
      </dgm:prSet>
      <dgm:spPr/>
    </dgm:pt>
    <dgm:pt modelId="{35A2CAE4-744B-4ADE-B53F-FCF5ED9DF410}" type="pres">
      <dgm:prSet presAssocID="{15081DAF-37C7-49EC-8B47-9135784C11F4}" presName="rootComposite" presStyleCnt="0"/>
      <dgm:spPr/>
    </dgm:pt>
    <dgm:pt modelId="{A939DBF8-7C29-42BA-91AB-C402B243A3F6}" type="pres">
      <dgm:prSet presAssocID="{15081DAF-37C7-49EC-8B47-9135784C11F4}" presName="rootText" presStyleLbl="node2" presStyleIdx="0" presStyleCnt="2">
        <dgm:presLayoutVars>
          <dgm:chPref val="3"/>
        </dgm:presLayoutVars>
      </dgm:prSet>
      <dgm:spPr/>
      <dgm:t>
        <a:bodyPr/>
        <a:lstStyle/>
        <a:p>
          <a:endParaRPr kumimoji="1" lang="ja-JP" altLang="en-US"/>
        </a:p>
      </dgm:t>
    </dgm:pt>
    <dgm:pt modelId="{0A4C46D1-9121-4869-B3A3-664390DE7E08}" type="pres">
      <dgm:prSet presAssocID="{15081DAF-37C7-49EC-8B47-9135784C11F4}" presName="rootConnector" presStyleLbl="node2" presStyleIdx="0" presStyleCnt="2"/>
      <dgm:spPr/>
      <dgm:t>
        <a:bodyPr/>
        <a:lstStyle/>
        <a:p>
          <a:endParaRPr kumimoji="1" lang="ja-JP" altLang="en-US"/>
        </a:p>
      </dgm:t>
    </dgm:pt>
    <dgm:pt modelId="{A67E307E-3A6D-42CE-AA51-499B9EB2FCA4}" type="pres">
      <dgm:prSet presAssocID="{15081DAF-37C7-49EC-8B47-9135784C11F4}" presName="hierChild4" presStyleCnt="0"/>
      <dgm:spPr/>
    </dgm:pt>
    <dgm:pt modelId="{A0629634-024B-419A-8D72-D62BE2EFE8F3}" type="pres">
      <dgm:prSet presAssocID="{15081DAF-37C7-49EC-8B47-9135784C11F4}" presName="hierChild5" presStyleCnt="0"/>
      <dgm:spPr/>
    </dgm:pt>
    <dgm:pt modelId="{130C2E31-BB3F-4FD6-ACFF-CDFF37523A53}" type="pres">
      <dgm:prSet presAssocID="{B73A43B5-71B8-4827-8C43-B6EA832CE76D}" presName="Name37" presStyleLbl="parChTrans1D2" presStyleIdx="1" presStyleCnt="2"/>
      <dgm:spPr/>
      <dgm:t>
        <a:bodyPr/>
        <a:lstStyle/>
        <a:p>
          <a:endParaRPr kumimoji="1" lang="ja-JP" altLang="en-US"/>
        </a:p>
      </dgm:t>
    </dgm:pt>
    <dgm:pt modelId="{36477A12-F1E7-4902-9C61-E95B78968FDD}" type="pres">
      <dgm:prSet presAssocID="{C00C7BE6-092F-40F5-8208-42FEF5CE92C0}" presName="hierRoot2" presStyleCnt="0">
        <dgm:presLayoutVars>
          <dgm:hierBranch val="init"/>
        </dgm:presLayoutVars>
      </dgm:prSet>
      <dgm:spPr/>
    </dgm:pt>
    <dgm:pt modelId="{737A0A1C-9CBC-427C-96BE-B6F28687CC85}" type="pres">
      <dgm:prSet presAssocID="{C00C7BE6-092F-40F5-8208-42FEF5CE92C0}" presName="rootComposite" presStyleCnt="0"/>
      <dgm:spPr/>
    </dgm:pt>
    <dgm:pt modelId="{34D8533B-F664-4EEC-8684-E0AA90658AF4}" type="pres">
      <dgm:prSet presAssocID="{C00C7BE6-092F-40F5-8208-42FEF5CE92C0}" presName="rootText" presStyleLbl="node2" presStyleIdx="1" presStyleCnt="2">
        <dgm:presLayoutVars>
          <dgm:chPref val="3"/>
        </dgm:presLayoutVars>
      </dgm:prSet>
      <dgm:spPr/>
      <dgm:t>
        <a:bodyPr/>
        <a:lstStyle/>
        <a:p>
          <a:endParaRPr kumimoji="1" lang="ja-JP" altLang="en-US"/>
        </a:p>
      </dgm:t>
    </dgm:pt>
    <dgm:pt modelId="{EF656346-88CD-47D1-B7D7-7CBE6C8A4B6B}" type="pres">
      <dgm:prSet presAssocID="{C00C7BE6-092F-40F5-8208-42FEF5CE92C0}" presName="rootConnector" presStyleLbl="node2" presStyleIdx="1" presStyleCnt="2"/>
      <dgm:spPr/>
      <dgm:t>
        <a:bodyPr/>
        <a:lstStyle/>
        <a:p>
          <a:endParaRPr kumimoji="1" lang="ja-JP" altLang="en-US"/>
        </a:p>
      </dgm:t>
    </dgm:pt>
    <dgm:pt modelId="{F29C6337-CEC3-41BC-93D8-2B378A662116}" type="pres">
      <dgm:prSet presAssocID="{C00C7BE6-092F-40F5-8208-42FEF5CE92C0}" presName="hierChild4" presStyleCnt="0"/>
      <dgm:spPr/>
    </dgm:pt>
    <dgm:pt modelId="{BD994370-2796-4718-85F4-5C6B6A8C8D18}" type="pres">
      <dgm:prSet presAssocID="{C5E44F1B-F5F0-42A7-8EB0-7EACA41A0257}" presName="Name37" presStyleLbl="parChTrans1D3" presStyleIdx="0" presStyleCnt="2"/>
      <dgm:spPr/>
      <dgm:t>
        <a:bodyPr/>
        <a:lstStyle/>
        <a:p>
          <a:endParaRPr kumimoji="1" lang="ja-JP" altLang="en-US"/>
        </a:p>
      </dgm:t>
    </dgm:pt>
    <dgm:pt modelId="{3AEC82A5-1181-4DDD-BF6D-871F131E918F}" type="pres">
      <dgm:prSet presAssocID="{AEFFFCCC-495E-4937-A47F-CA4C7844DAC0}" presName="hierRoot2" presStyleCnt="0">
        <dgm:presLayoutVars>
          <dgm:hierBranch val="init"/>
        </dgm:presLayoutVars>
      </dgm:prSet>
      <dgm:spPr/>
    </dgm:pt>
    <dgm:pt modelId="{FA5B4687-9F50-4E6C-B62E-7D1845E268E0}" type="pres">
      <dgm:prSet presAssocID="{AEFFFCCC-495E-4937-A47F-CA4C7844DAC0}" presName="rootComposite" presStyleCnt="0"/>
      <dgm:spPr/>
    </dgm:pt>
    <dgm:pt modelId="{ACB4E088-DD21-4031-8858-2C0D24487B71}" type="pres">
      <dgm:prSet presAssocID="{AEFFFCCC-495E-4937-A47F-CA4C7844DAC0}" presName="rootText" presStyleLbl="node3" presStyleIdx="0" presStyleCnt="2">
        <dgm:presLayoutVars>
          <dgm:chPref val="3"/>
        </dgm:presLayoutVars>
      </dgm:prSet>
      <dgm:spPr/>
      <dgm:t>
        <a:bodyPr/>
        <a:lstStyle/>
        <a:p>
          <a:endParaRPr kumimoji="1" lang="ja-JP" altLang="en-US"/>
        </a:p>
      </dgm:t>
    </dgm:pt>
    <dgm:pt modelId="{AC12C277-D1B6-410F-AB32-3DBE379C6EF8}" type="pres">
      <dgm:prSet presAssocID="{AEFFFCCC-495E-4937-A47F-CA4C7844DAC0}" presName="rootConnector" presStyleLbl="node3" presStyleIdx="0" presStyleCnt="2"/>
      <dgm:spPr/>
      <dgm:t>
        <a:bodyPr/>
        <a:lstStyle/>
        <a:p>
          <a:endParaRPr kumimoji="1" lang="ja-JP" altLang="en-US"/>
        </a:p>
      </dgm:t>
    </dgm:pt>
    <dgm:pt modelId="{BCF0C70E-C100-45D4-BC62-AA4442F00AAC}" type="pres">
      <dgm:prSet presAssocID="{AEFFFCCC-495E-4937-A47F-CA4C7844DAC0}" presName="hierChild4" presStyleCnt="0"/>
      <dgm:spPr/>
    </dgm:pt>
    <dgm:pt modelId="{FC537086-59D2-4FA4-9262-3822A409FB09}" type="pres">
      <dgm:prSet presAssocID="{AEFFFCCC-495E-4937-A47F-CA4C7844DAC0}" presName="hierChild5" presStyleCnt="0"/>
      <dgm:spPr/>
    </dgm:pt>
    <dgm:pt modelId="{ECAA18F2-2A91-42E3-8591-AED21251053C}" type="pres">
      <dgm:prSet presAssocID="{58683D63-AE2D-4F84-A022-00BC4E9FC491}" presName="Name37" presStyleLbl="parChTrans1D3" presStyleIdx="1" presStyleCnt="2"/>
      <dgm:spPr/>
      <dgm:t>
        <a:bodyPr/>
        <a:lstStyle/>
        <a:p>
          <a:endParaRPr kumimoji="1" lang="ja-JP" altLang="en-US"/>
        </a:p>
      </dgm:t>
    </dgm:pt>
    <dgm:pt modelId="{3503D5D5-AF55-476A-92E0-4472C2CF7039}" type="pres">
      <dgm:prSet presAssocID="{5BD0592B-561C-461E-930E-5034156F31EA}" presName="hierRoot2" presStyleCnt="0">
        <dgm:presLayoutVars>
          <dgm:hierBranch val="init"/>
        </dgm:presLayoutVars>
      </dgm:prSet>
      <dgm:spPr/>
    </dgm:pt>
    <dgm:pt modelId="{3D6653F0-DC8F-4831-A3BB-4D4C7D20B98C}" type="pres">
      <dgm:prSet presAssocID="{5BD0592B-561C-461E-930E-5034156F31EA}" presName="rootComposite" presStyleCnt="0"/>
      <dgm:spPr/>
    </dgm:pt>
    <dgm:pt modelId="{8BBE28F2-D81F-4BE9-B9E7-0DFC60922136}" type="pres">
      <dgm:prSet presAssocID="{5BD0592B-561C-461E-930E-5034156F31EA}" presName="rootText" presStyleLbl="node3" presStyleIdx="1" presStyleCnt="2">
        <dgm:presLayoutVars>
          <dgm:chPref val="3"/>
        </dgm:presLayoutVars>
      </dgm:prSet>
      <dgm:spPr/>
      <dgm:t>
        <a:bodyPr/>
        <a:lstStyle/>
        <a:p>
          <a:endParaRPr kumimoji="1" lang="ja-JP" altLang="en-US"/>
        </a:p>
      </dgm:t>
    </dgm:pt>
    <dgm:pt modelId="{63746A42-6288-44DD-8A52-5D7CAD60E788}" type="pres">
      <dgm:prSet presAssocID="{5BD0592B-561C-461E-930E-5034156F31EA}" presName="rootConnector" presStyleLbl="node3" presStyleIdx="1" presStyleCnt="2"/>
      <dgm:spPr/>
      <dgm:t>
        <a:bodyPr/>
        <a:lstStyle/>
        <a:p>
          <a:endParaRPr kumimoji="1" lang="ja-JP" altLang="en-US"/>
        </a:p>
      </dgm:t>
    </dgm:pt>
    <dgm:pt modelId="{89DADC6F-C557-46AB-B9F1-F2D3F3EB5961}" type="pres">
      <dgm:prSet presAssocID="{5BD0592B-561C-461E-930E-5034156F31EA}" presName="hierChild4" presStyleCnt="0"/>
      <dgm:spPr/>
    </dgm:pt>
    <dgm:pt modelId="{2DCB40DC-61E7-4BA6-B849-22CF99DA70A8}" type="pres">
      <dgm:prSet presAssocID="{5BD0592B-561C-461E-930E-5034156F31EA}" presName="hierChild5" presStyleCnt="0"/>
      <dgm:spPr/>
    </dgm:pt>
    <dgm:pt modelId="{4352C6CA-8833-44C3-9532-38BA97C61A38}" type="pres">
      <dgm:prSet presAssocID="{C00C7BE6-092F-40F5-8208-42FEF5CE92C0}" presName="hierChild5" presStyleCnt="0"/>
      <dgm:spPr/>
    </dgm:pt>
    <dgm:pt modelId="{8EC81674-47EE-4CF6-BC5E-515B04E0A61A}" type="pres">
      <dgm:prSet presAssocID="{CE9673BF-51AA-4C2E-A62C-807615A5562B}" presName="hierChild3" presStyleCnt="0"/>
      <dgm:spPr/>
    </dgm:pt>
  </dgm:ptLst>
  <dgm:cxnLst>
    <dgm:cxn modelId="{DE19FE37-725D-41EB-82BC-BFC97ED7429A}" type="presOf" srcId="{58683D63-AE2D-4F84-A022-00BC4E9FC491}" destId="{ECAA18F2-2A91-42E3-8591-AED21251053C}" srcOrd="0" destOrd="0" presId="urn:microsoft.com/office/officeart/2005/8/layout/orgChart1"/>
    <dgm:cxn modelId="{2D8C292A-0642-44F3-8458-72A8998D690D}" type="presOf" srcId="{AEFFFCCC-495E-4937-A47F-CA4C7844DAC0}" destId="{AC12C277-D1B6-410F-AB32-3DBE379C6EF8}" srcOrd="1" destOrd="0" presId="urn:microsoft.com/office/officeart/2005/8/layout/orgChart1"/>
    <dgm:cxn modelId="{4F00FD5F-5413-43E9-942F-899A028000DC}" type="presOf" srcId="{CE9673BF-51AA-4C2E-A62C-807615A5562B}" destId="{F36BE8FA-C6BD-40AF-8DE7-CC34DBEF4898}" srcOrd="0" destOrd="0" presId="urn:microsoft.com/office/officeart/2005/8/layout/orgChart1"/>
    <dgm:cxn modelId="{AC8029A9-6BD2-47BC-B7F7-CA1BC3737644}" srcId="{10F56C55-573C-4C2A-8960-318D5A268223}" destId="{CE9673BF-51AA-4C2E-A62C-807615A5562B}" srcOrd="0" destOrd="0" parTransId="{F2E5B4A9-3673-4D4B-9513-469DE3267CE9}" sibTransId="{4C4C75C4-FD4A-415F-8A71-DA407E5A395E}"/>
    <dgm:cxn modelId="{F774B1A7-D33C-4161-9108-E2F37A8C5F6C}" srcId="{CE9673BF-51AA-4C2E-A62C-807615A5562B}" destId="{15081DAF-37C7-49EC-8B47-9135784C11F4}" srcOrd="0" destOrd="0" parTransId="{A0DAFD87-9105-416B-BF5B-5DE06952BC1A}" sibTransId="{262D5FFF-3565-4D9B-9AC2-6B83DBADFA5D}"/>
    <dgm:cxn modelId="{B5950F48-C085-4138-A64A-4F8EAF19CDB3}" type="presOf" srcId="{10F56C55-573C-4C2A-8960-318D5A268223}" destId="{0758E1B5-47BC-482B-A633-B75B11037445}" srcOrd="0" destOrd="0" presId="urn:microsoft.com/office/officeart/2005/8/layout/orgChart1"/>
    <dgm:cxn modelId="{923CAF6E-C48E-472F-8A55-15C48436B94F}" type="presOf" srcId="{5BD0592B-561C-461E-930E-5034156F31EA}" destId="{8BBE28F2-D81F-4BE9-B9E7-0DFC60922136}" srcOrd="0" destOrd="0" presId="urn:microsoft.com/office/officeart/2005/8/layout/orgChart1"/>
    <dgm:cxn modelId="{AB6EDD0E-78C5-4A6F-99CA-60166E49D13C}" type="presOf" srcId="{B73A43B5-71B8-4827-8C43-B6EA832CE76D}" destId="{130C2E31-BB3F-4FD6-ACFF-CDFF37523A53}" srcOrd="0" destOrd="0" presId="urn:microsoft.com/office/officeart/2005/8/layout/orgChart1"/>
    <dgm:cxn modelId="{BE2726B4-D3C1-4BB3-B114-0517F3AEE02D}" type="presOf" srcId="{15081DAF-37C7-49EC-8B47-9135784C11F4}" destId="{A939DBF8-7C29-42BA-91AB-C402B243A3F6}" srcOrd="0" destOrd="0" presId="urn:microsoft.com/office/officeart/2005/8/layout/orgChart1"/>
    <dgm:cxn modelId="{6617939A-4174-43A3-BE16-B99D12C74E7D}" srcId="{C00C7BE6-092F-40F5-8208-42FEF5CE92C0}" destId="{AEFFFCCC-495E-4937-A47F-CA4C7844DAC0}" srcOrd="0" destOrd="0" parTransId="{C5E44F1B-F5F0-42A7-8EB0-7EACA41A0257}" sibTransId="{A175F22E-6EAC-4A27-8F31-72E4A018D7BD}"/>
    <dgm:cxn modelId="{1940C8A2-C42D-46E6-A62B-2D3F43299332}" srcId="{C00C7BE6-092F-40F5-8208-42FEF5CE92C0}" destId="{5BD0592B-561C-461E-930E-5034156F31EA}" srcOrd="1" destOrd="0" parTransId="{58683D63-AE2D-4F84-A022-00BC4E9FC491}" sibTransId="{3CF65A1E-89EE-4651-94E6-C4A36E49EE5B}"/>
    <dgm:cxn modelId="{D915AED7-BBB9-4D2C-B921-28840A0F4AEF}" srcId="{CE9673BF-51AA-4C2E-A62C-807615A5562B}" destId="{C00C7BE6-092F-40F5-8208-42FEF5CE92C0}" srcOrd="1" destOrd="0" parTransId="{B73A43B5-71B8-4827-8C43-B6EA832CE76D}" sibTransId="{7AD21E19-1518-4BEF-AE59-743F4FCC8474}"/>
    <dgm:cxn modelId="{F2907E6B-B20C-4FA5-8C9F-A44F9EDC775C}" type="presOf" srcId="{A0DAFD87-9105-416B-BF5B-5DE06952BC1A}" destId="{CAE249FB-1DE2-49EB-B6FD-C37B190FEAFF}" srcOrd="0" destOrd="0" presId="urn:microsoft.com/office/officeart/2005/8/layout/orgChart1"/>
    <dgm:cxn modelId="{5A9194A7-82BC-4EF8-B413-19FD328F4931}" type="presOf" srcId="{C00C7BE6-092F-40F5-8208-42FEF5CE92C0}" destId="{34D8533B-F664-4EEC-8684-E0AA90658AF4}" srcOrd="0" destOrd="0" presId="urn:microsoft.com/office/officeart/2005/8/layout/orgChart1"/>
    <dgm:cxn modelId="{17091E60-221B-4B1E-8CDE-593686F67D99}" type="presOf" srcId="{AEFFFCCC-495E-4937-A47F-CA4C7844DAC0}" destId="{ACB4E088-DD21-4031-8858-2C0D24487B71}" srcOrd="0" destOrd="0" presId="urn:microsoft.com/office/officeart/2005/8/layout/orgChart1"/>
    <dgm:cxn modelId="{CF415D2A-A6B0-4236-9524-28E6AEFF90B6}" type="presOf" srcId="{C5E44F1B-F5F0-42A7-8EB0-7EACA41A0257}" destId="{BD994370-2796-4718-85F4-5C6B6A8C8D18}" srcOrd="0" destOrd="0" presId="urn:microsoft.com/office/officeart/2005/8/layout/orgChart1"/>
    <dgm:cxn modelId="{09A7BD42-3E10-42CF-BC2F-8CB6CBBCB5E6}" type="presOf" srcId="{15081DAF-37C7-49EC-8B47-9135784C11F4}" destId="{0A4C46D1-9121-4869-B3A3-664390DE7E08}" srcOrd="1" destOrd="0" presId="urn:microsoft.com/office/officeart/2005/8/layout/orgChart1"/>
    <dgm:cxn modelId="{DD12804A-0DA2-4E9E-B048-05F4F7910598}" type="presOf" srcId="{5BD0592B-561C-461E-930E-5034156F31EA}" destId="{63746A42-6288-44DD-8A52-5D7CAD60E788}" srcOrd="1" destOrd="0" presId="urn:microsoft.com/office/officeart/2005/8/layout/orgChart1"/>
    <dgm:cxn modelId="{7FB587C5-77A8-4C0D-9CAA-EE8C6DB4FFDF}" type="presOf" srcId="{CE9673BF-51AA-4C2E-A62C-807615A5562B}" destId="{04D5B1A8-F6C2-4F8D-BA3F-09CCBF22CD4F}" srcOrd="1" destOrd="0" presId="urn:microsoft.com/office/officeart/2005/8/layout/orgChart1"/>
    <dgm:cxn modelId="{FC934289-4DEA-4A65-85AA-47480E762BA4}" type="presOf" srcId="{C00C7BE6-092F-40F5-8208-42FEF5CE92C0}" destId="{EF656346-88CD-47D1-B7D7-7CBE6C8A4B6B}" srcOrd="1" destOrd="0" presId="urn:microsoft.com/office/officeart/2005/8/layout/orgChart1"/>
    <dgm:cxn modelId="{C7189B06-C97A-4175-BCE7-993D840366AC}" type="presParOf" srcId="{0758E1B5-47BC-482B-A633-B75B11037445}" destId="{2A37D473-1243-4BCC-B76D-9B430DF46564}" srcOrd="0" destOrd="0" presId="urn:microsoft.com/office/officeart/2005/8/layout/orgChart1"/>
    <dgm:cxn modelId="{582228A4-FAB5-439E-B3C3-02C348C1233C}" type="presParOf" srcId="{2A37D473-1243-4BCC-B76D-9B430DF46564}" destId="{5AAC6A8B-A872-4996-A8A9-EC8AB3CFCA15}" srcOrd="0" destOrd="0" presId="urn:microsoft.com/office/officeart/2005/8/layout/orgChart1"/>
    <dgm:cxn modelId="{7FA2309B-15E9-4516-BE59-F72291D96C08}" type="presParOf" srcId="{5AAC6A8B-A872-4996-A8A9-EC8AB3CFCA15}" destId="{F36BE8FA-C6BD-40AF-8DE7-CC34DBEF4898}" srcOrd="0" destOrd="0" presId="urn:microsoft.com/office/officeart/2005/8/layout/orgChart1"/>
    <dgm:cxn modelId="{00160A6D-1010-4602-8445-D3712854E487}" type="presParOf" srcId="{5AAC6A8B-A872-4996-A8A9-EC8AB3CFCA15}" destId="{04D5B1A8-F6C2-4F8D-BA3F-09CCBF22CD4F}" srcOrd="1" destOrd="0" presId="urn:microsoft.com/office/officeart/2005/8/layout/orgChart1"/>
    <dgm:cxn modelId="{07D48B4F-47DF-48BB-ABB9-4B5B05A998BF}" type="presParOf" srcId="{2A37D473-1243-4BCC-B76D-9B430DF46564}" destId="{F76E8FF2-B978-41F3-BCD5-0758DA7E4C83}" srcOrd="1" destOrd="0" presId="urn:microsoft.com/office/officeart/2005/8/layout/orgChart1"/>
    <dgm:cxn modelId="{82F8096B-427A-421C-A9C1-A18C3A1D324E}" type="presParOf" srcId="{F76E8FF2-B978-41F3-BCD5-0758DA7E4C83}" destId="{CAE249FB-1DE2-49EB-B6FD-C37B190FEAFF}" srcOrd="0" destOrd="0" presId="urn:microsoft.com/office/officeart/2005/8/layout/orgChart1"/>
    <dgm:cxn modelId="{3E1545F0-AA81-4C1A-A4A4-F1B6EE35F1D8}" type="presParOf" srcId="{F76E8FF2-B978-41F3-BCD5-0758DA7E4C83}" destId="{11783277-9A7E-4929-B9AD-8B72354B8575}" srcOrd="1" destOrd="0" presId="urn:microsoft.com/office/officeart/2005/8/layout/orgChart1"/>
    <dgm:cxn modelId="{E0BC8067-8BEA-4FFA-B4DB-E6FF141EB515}" type="presParOf" srcId="{11783277-9A7E-4929-B9AD-8B72354B8575}" destId="{35A2CAE4-744B-4ADE-B53F-FCF5ED9DF410}" srcOrd="0" destOrd="0" presId="urn:microsoft.com/office/officeart/2005/8/layout/orgChart1"/>
    <dgm:cxn modelId="{FEF36A38-99AF-4FA7-9B85-D87CB6F4FE0B}" type="presParOf" srcId="{35A2CAE4-744B-4ADE-B53F-FCF5ED9DF410}" destId="{A939DBF8-7C29-42BA-91AB-C402B243A3F6}" srcOrd="0" destOrd="0" presId="urn:microsoft.com/office/officeart/2005/8/layout/orgChart1"/>
    <dgm:cxn modelId="{524C899C-4DC6-46E6-9615-4BE26982F190}" type="presParOf" srcId="{35A2CAE4-744B-4ADE-B53F-FCF5ED9DF410}" destId="{0A4C46D1-9121-4869-B3A3-664390DE7E08}" srcOrd="1" destOrd="0" presId="urn:microsoft.com/office/officeart/2005/8/layout/orgChart1"/>
    <dgm:cxn modelId="{10F6BED5-4039-4EA9-8A5B-7EB9C54FE359}" type="presParOf" srcId="{11783277-9A7E-4929-B9AD-8B72354B8575}" destId="{A67E307E-3A6D-42CE-AA51-499B9EB2FCA4}" srcOrd="1" destOrd="0" presId="urn:microsoft.com/office/officeart/2005/8/layout/orgChart1"/>
    <dgm:cxn modelId="{FC27A1DE-6CCC-46C7-8D76-00AFECE84439}" type="presParOf" srcId="{11783277-9A7E-4929-B9AD-8B72354B8575}" destId="{A0629634-024B-419A-8D72-D62BE2EFE8F3}" srcOrd="2" destOrd="0" presId="urn:microsoft.com/office/officeart/2005/8/layout/orgChart1"/>
    <dgm:cxn modelId="{88DC4C4E-9DAC-4391-A0B0-59E349D2AE62}" type="presParOf" srcId="{F76E8FF2-B978-41F3-BCD5-0758DA7E4C83}" destId="{130C2E31-BB3F-4FD6-ACFF-CDFF37523A53}" srcOrd="2" destOrd="0" presId="urn:microsoft.com/office/officeart/2005/8/layout/orgChart1"/>
    <dgm:cxn modelId="{0E2CBD52-E974-422E-91B4-E86FEE37C296}" type="presParOf" srcId="{F76E8FF2-B978-41F3-BCD5-0758DA7E4C83}" destId="{36477A12-F1E7-4902-9C61-E95B78968FDD}" srcOrd="3" destOrd="0" presId="urn:microsoft.com/office/officeart/2005/8/layout/orgChart1"/>
    <dgm:cxn modelId="{901C4391-0587-4EEE-AA2F-A3AF43948347}" type="presParOf" srcId="{36477A12-F1E7-4902-9C61-E95B78968FDD}" destId="{737A0A1C-9CBC-427C-96BE-B6F28687CC85}" srcOrd="0" destOrd="0" presId="urn:microsoft.com/office/officeart/2005/8/layout/orgChart1"/>
    <dgm:cxn modelId="{A1E9369B-5010-46FD-BCAF-0DF238877946}" type="presParOf" srcId="{737A0A1C-9CBC-427C-96BE-B6F28687CC85}" destId="{34D8533B-F664-4EEC-8684-E0AA90658AF4}" srcOrd="0" destOrd="0" presId="urn:microsoft.com/office/officeart/2005/8/layout/orgChart1"/>
    <dgm:cxn modelId="{35F9325D-6DB2-4277-B043-72A5E9688D9B}" type="presParOf" srcId="{737A0A1C-9CBC-427C-96BE-B6F28687CC85}" destId="{EF656346-88CD-47D1-B7D7-7CBE6C8A4B6B}" srcOrd="1" destOrd="0" presId="urn:microsoft.com/office/officeart/2005/8/layout/orgChart1"/>
    <dgm:cxn modelId="{94C716B6-7D81-44CA-AD44-DF2CBBC27BF1}" type="presParOf" srcId="{36477A12-F1E7-4902-9C61-E95B78968FDD}" destId="{F29C6337-CEC3-41BC-93D8-2B378A662116}" srcOrd="1" destOrd="0" presId="urn:microsoft.com/office/officeart/2005/8/layout/orgChart1"/>
    <dgm:cxn modelId="{7AEC5C8C-B4D1-44BE-97F0-04B5C656CF33}" type="presParOf" srcId="{F29C6337-CEC3-41BC-93D8-2B378A662116}" destId="{BD994370-2796-4718-85F4-5C6B6A8C8D18}" srcOrd="0" destOrd="0" presId="urn:microsoft.com/office/officeart/2005/8/layout/orgChart1"/>
    <dgm:cxn modelId="{C881EBCD-0CEE-4F40-886E-3031BD14B2CE}" type="presParOf" srcId="{F29C6337-CEC3-41BC-93D8-2B378A662116}" destId="{3AEC82A5-1181-4DDD-BF6D-871F131E918F}" srcOrd="1" destOrd="0" presId="urn:microsoft.com/office/officeart/2005/8/layout/orgChart1"/>
    <dgm:cxn modelId="{BAC0E5B8-1A08-4B92-812A-0DEFEFEA057E}" type="presParOf" srcId="{3AEC82A5-1181-4DDD-BF6D-871F131E918F}" destId="{FA5B4687-9F50-4E6C-B62E-7D1845E268E0}" srcOrd="0" destOrd="0" presId="urn:microsoft.com/office/officeart/2005/8/layout/orgChart1"/>
    <dgm:cxn modelId="{07CB6D2E-668A-4E81-939B-A3CF74332D64}" type="presParOf" srcId="{FA5B4687-9F50-4E6C-B62E-7D1845E268E0}" destId="{ACB4E088-DD21-4031-8858-2C0D24487B71}" srcOrd="0" destOrd="0" presId="urn:microsoft.com/office/officeart/2005/8/layout/orgChart1"/>
    <dgm:cxn modelId="{FB599711-FCD3-450E-B69F-B24B07AE4EA0}" type="presParOf" srcId="{FA5B4687-9F50-4E6C-B62E-7D1845E268E0}" destId="{AC12C277-D1B6-410F-AB32-3DBE379C6EF8}" srcOrd="1" destOrd="0" presId="urn:microsoft.com/office/officeart/2005/8/layout/orgChart1"/>
    <dgm:cxn modelId="{9F58827A-8201-47C0-97BC-DE0608DED90E}" type="presParOf" srcId="{3AEC82A5-1181-4DDD-BF6D-871F131E918F}" destId="{BCF0C70E-C100-45D4-BC62-AA4442F00AAC}" srcOrd="1" destOrd="0" presId="urn:microsoft.com/office/officeart/2005/8/layout/orgChart1"/>
    <dgm:cxn modelId="{D0BBAC6E-46D1-414A-934D-682DF3F2EC29}" type="presParOf" srcId="{3AEC82A5-1181-4DDD-BF6D-871F131E918F}" destId="{FC537086-59D2-4FA4-9262-3822A409FB09}" srcOrd="2" destOrd="0" presId="urn:microsoft.com/office/officeart/2005/8/layout/orgChart1"/>
    <dgm:cxn modelId="{DD0314DA-9979-4222-99AC-C8F6023F987C}" type="presParOf" srcId="{F29C6337-CEC3-41BC-93D8-2B378A662116}" destId="{ECAA18F2-2A91-42E3-8591-AED21251053C}" srcOrd="2" destOrd="0" presId="urn:microsoft.com/office/officeart/2005/8/layout/orgChart1"/>
    <dgm:cxn modelId="{2A8A5B91-7BA8-4C2A-AE1C-39F53DC8B5DC}" type="presParOf" srcId="{F29C6337-CEC3-41BC-93D8-2B378A662116}" destId="{3503D5D5-AF55-476A-92E0-4472C2CF7039}" srcOrd="3" destOrd="0" presId="urn:microsoft.com/office/officeart/2005/8/layout/orgChart1"/>
    <dgm:cxn modelId="{7DC12AD3-7FA4-490B-BCC1-1A7E24E57E2E}" type="presParOf" srcId="{3503D5D5-AF55-476A-92E0-4472C2CF7039}" destId="{3D6653F0-DC8F-4831-A3BB-4D4C7D20B98C}" srcOrd="0" destOrd="0" presId="urn:microsoft.com/office/officeart/2005/8/layout/orgChart1"/>
    <dgm:cxn modelId="{1092F127-68E1-4039-A054-39FF7E585A42}" type="presParOf" srcId="{3D6653F0-DC8F-4831-A3BB-4D4C7D20B98C}" destId="{8BBE28F2-D81F-4BE9-B9E7-0DFC60922136}" srcOrd="0" destOrd="0" presId="urn:microsoft.com/office/officeart/2005/8/layout/orgChart1"/>
    <dgm:cxn modelId="{E3D4CB99-44F9-4682-B602-14F27798D77E}" type="presParOf" srcId="{3D6653F0-DC8F-4831-A3BB-4D4C7D20B98C}" destId="{63746A42-6288-44DD-8A52-5D7CAD60E788}" srcOrd="1" destOrd="0" presId="urn:microsoft.com/office/officeart/2005/8/layout/orgChart1"/>
    <dgm:cxn modelId="{44276AE0-EEDF-4213-8461-21B333FC86B5}" type="presParOf" srcId="{3503D5D5-AF55-476A-92E0-4472C2CF7039}" destId="{89DADC6F-C557-46AB-B9F1-F2D3F3EB5961}" srcOrd="1" destOrd="0" presId="urn:microsoft.com/office/officeart/2005/8/layout/orgChart1"/>
    <dgm:cxn modelId="{7F751BEE-2EB8-4C66-9FFD-A277CC28B86C}" type="presParOf" srcId="{3503D5D5-AF55-476A-92E0-4472C2CF7039}" destId="{2DCB40DC-61E7-4BA6-B849-22CF99DA70A8}" srcOrd="2" destOrd="0" presId="urn:microsoft.com/office/officeart/2005/8/layout/orgChart1"/>
    <dgm:cxn modelId="{A0B9B032-8621-4B52-AE2A-CA8F3102AD49}" type="presParOf" srcId="{36477A12-F1E7-4902-9C61-E95B78968FDD}" destId="{4352C6CA-8833-44C3-9532-38BA97C61A38}" srcOrd="2" destOrd="0" presId="urn:microsoft.com/office/officeart/2005/8/layout/orgChart1"/>
    <dgm:cxn modelId="{79F55DCB-D36E-426B-A387-37D16F5CD30F}" type="presParOf" srcId="{2A37D473-1243-4BCC-B76D-9B430DF46564}" destId="{8EC81674-47EE-4CF6-BC5E-515B04E0A61A}" srcOrd="2" destOrd="0" presId="urn:microsoft.com/office/officeart/2005/8/layout/orgChart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0F56C55-573C-4C2A-8960-318D5A268223}" type="doc">
      <dgm:prSet loTypeId="urn:microsoft.com/office/officeart/2005/8/layout/orgChart1" loCatId="hierarchy" qsTypeId="urn:microsoft.com/office/officeart/2005/8/quickstyle/simple3" qsCatId="simple" csTypeId="urn:microsoft.com/office/officeart/2005/8/colors/accent1_2" csCatId="accent1" phldr="1"/>
      <dgm:spPr/>
      <dgm:t>
        <a:bodyPr/>
        <a:lstStyle/>
        <a:p>
          <a:endParaRPr kumimoji="1" lang="ja-JP" altLang="en-US"/>
        </a:p>
      </dgm:t>
    </dgm:pt>
    <dgm:pt modelId="{CE9673BF-51AA-4C2E-A62C-807615A5562B}">
      <dgm:prSet phldrT="[テキスト]"/>
      <dgm:spPr/>
      <dgm:t>
        <a:bodyPr/>
        <a:lstStyle/>
        <a:p>
          <a:pPr algn="ctr"/>
          <a:r>
            <a:rPr kumimoji="1" lang="ja-JP" altLang="en-US"/>
            <a:t>全国高体連</a:t>
          </a:r>
        </a:p>
      </dgm:t>
    </dgm:pt>
    <dgm:pt modelId="{4C4C75C4-FD4A-415F-8A71-DA407E5A395E}" type="sibTrans" cxnId="{AC8029A9-6BD2-47BC-B7F7-CA1BC3737644}">
      <dgm:prSet/>
      <dgm:spPr/>
      <dgm:t>
        <a:bodyPr/>
        <a:lstStyle/>
        <a:p>
          <a:pPr algn="ctr"/>
          <a:endParaRPr kumimoji="1" lang="ja-JP" altLang="en-US"/>
        </a:p>
      </dgm:t>
    </dgm:pt>
    <dgm:pt modelId="{F2E5B4A9-3673-4D4B-9513-469DE3267CE9}" type="parTrans" cxnId="{AC8029A9-6BD2-47BC-B7F7-CA1BC3737644}">
      <dgm:prSet/>
      <dgm:spPr/>
      <dgm:t>
        <a:bodyPr/>
        <a:lstStyle/>
        <a:p>
          <a:pPr algn="ctr"/>
          <a:endParaRPr kumimoji="1" lang="ja-JP" altLang="en-US"/>
        </a:p>
      </dgm:t>
    </dgm:pt>
    <dgm:pt modelId="{15081DAF-37C7-49EC-8B47-9135784C11F4}">
      <dgm:prSet/>
      <dgm:spPr/>
      <dgm:t>
        <a:bodyPr/>
        <a:lstStyle/>
        <a:p>
          <a:pPr algn="ctr"/>
          <a:r>
            <a:rPr kumimoji="1" lang="ja-JP" altLang="en-US"/>
            <a:t>各都道府県高体連</a:t>
          </a:r>
        </a:p>
      </dgm:t>
    </dgm:pt>
    <dgm:pt modelId="{A0DAFD87-9105-416B-BF5B-5DE06952BC1A}" type="parTrans" cxnId="{F774B1A7-D33C-4161-9108-E2F37A8C5F6C}">
      <dgm:prSet/>
      <dgm:spPr/>
      <dgm:t>
        <a:bodyPr/>
        <a:lstStyle/>
        <a:p>
          <a:pPr algn="ctr"/>
          <a:endParaRPr kumimoji="1" lang="ja-JP" altLang="en-US"/>
        </a:p>
      </dgm:t>
    </dgm:pt>
    <dgm:pt modelId="{262D5FFF-3565-4D9B-9AC2-6B83DBADFA5D}" type="sibTrans" cxnId="{F774B1A7-D33C-4161-9108-E2F37A8C5F6C}">
      <dgm:prSet/>
      <dgm:spPr/>
      <dgm:t>
        <a:bodyPr/>
        <a:lstStyle/>
        <a:p>
          <a:pPr algn="ctr"/>
          <a:endParaRPr kumimoji="1" lang="ja-JP" altLang="en-US"/>
        </a:p>
      </dgm:t>
    </dgm:pt>
    <dgm:pt modelId="{C00C7BE6-092F-40F5-8208-42FEF5CE92C0}">
      <dgm:prSet/>
      <dgm:spPr/>
      <dgm:t>
        <a:bodyPr/>
        <a:lstStyle/>
        <a:p>
          <a:pPr algn="ctr"/>
          <a:r>
            <a:rPr kumimoji="1" lang="ja-JP" altLang="en-US"/>
            <a:t>群馬県高体連</a:t>
          </a:r>
        </a:p>
      </dgm:t>
    </dgm:pt>
    <dgm:pt modelId="{B73A43B5-71B8-4827-8C43-B6EA832CE76D}" type="parTrans" cxnId="{D915AED7-BBB9-4D2C-B921-28840A0F4AEF}">
      <dgm:prSet/>
      <dgm:spPr/>
      <dgm:t>
        <a:bodyPr/>
        <a:lstStyle/>
        <a:p>
          <a:pPr algn="ctr"/>
          <a:endParaRPr kumimoji="1" lang="ja-JP" altLang="en-US"/>
        </a:p>
      </dgm:t>
    </dgm:pt>
    <dgm:pt modelId="{7AD21E19-1518-4BEF-AE59-743F4FCC8474}" type="sibTrans" cxnId="{D915AED7-BBB9-4D2C-B921-28840A0F4AEF}">
      <dgm:prSet/>
      <dgm:spPr/>
      <dgm:t>
        <a:bodyPr/>
        <a:lstStyle/>
        <a:p>
          <a:pPr algn="ctr"/>
          <a:endParaRPr kumimoji="1" lang="ja-JP" altLang="en-US"/>
        </a:p>
      </dgm:t>
    </dgm:pt>
    <dgm:pt modelId="{AEFFFCCC-495E-4937-A47F-CA4C7844DAC0}">
      <dgm:prSet/>
      <dgm:spPr/>
      <dgm:t>
        <a:bodyPr/>
        <a:lstStyle/>
        <a:p>
          <a:pPr algn="ctr"/>
          <a:r>
            <a:rPr kumimoji="1" lang="ja-JP" altLang="en-US"/>
            <a:t>群馬県各高体連専門部</a:t>
          </a:r>
        </a:p>
      </dgm:t>
    </dgm:pt>
    <dgm:pt modelId="{C5E44F1B-F5F0-42A7-8EB0-7EACA41A0257}" type="parTrans" cxnId="{6617939A-4174-43A3-BE16-B99D12C74E7D}">
      <dgm:prSet/>
      <dgm:spPr/>
      <dgm:t>
        <a:bodyPr/>
        <a:lstStyle/>
        <a:p>
          <a:pPr algn="ctr"/>
          <a:endParaRPr kumimoji="1" lang="ja-JP" altLang="en-US"/>
        </a:p>
      </dgm:t>
    </dgm:pt>
    <dgm:pt modelId="{A175F22E-6EAC-4A27-8F31-72E4A018D7BD}" type="sibTrans" cxnId="{6617939A-4174-43A3-BE16-B99D12C74E7D}">
      <dgm:prSet/>
      <dgm:spPr/>
      <dgm:t>
        <a:bodyPr/>
        <a:lstStyle/>
        <a:p>
          <a:pPr algn="ctr"/>
          <a:endParaRPr kumimoji="1" lang="ja-JP" altLang="en-US"/>
        </a:p>
      </dgm:t>
    </dgm:pt>
    <dgm:pt modelId="{5BD0592B-561C-461E-930E-5034156F31EA}">
      <dgm:prSet/>
      <dgm:spPr/>
      <dgm:t>
        <a:bodyPr/>
        <a:lstStyle/>
        <a:p>
          <a:pPr algn="ctr"/>
          <a:r>
            <a:rPr kumimoji="1" lang="ja-JP" altLang="en-US"/>
            <a:t>群馬県高体連弓道専門部</a:t>
          </a:r>
        </a:p>
      </dgm:t>
    </dgm:pt>
    <dgm:pt modelId="{58683D63-AE2D-4F84-A022-00BC4E9FC491}" type="parTrans" cxnId="{1940C8A2-C42D-46E6-A62B-2D3F43299332}">
      <dgm:prSet/>
      <dgm:spPr/>
      <dgm:t>
        <a:bodyPr/>
        <a:lstStyle/>
        <a:p>
          <a:pPr algn="ctr"/>
          <a:endParaRPr kumimoji="1" lang="ja-JP" altLang="en-US"/>
        </a:p>
      </dgm:t>
    </dgm:pt>
    <dgm:pt modelId="{3CF65A1E-89EE-4651-94E6-C4A36E49EE5B}" type="sibTrans" cxnId="{1940C8A2-C42D-46E6-A62B-2D3F43299332}">
      <dgm:prSet/>
      <dgm:spPr/>
      <dgm:t>
        <a:bodyPr/>
        <a:lstStyle/>
        <a:p>
          <a:pPr algn="ctr"/>
          <a:endParaRPr kumimoji="1" lang="ja-JP" altLang="en-US"/>
        </a:p>
      </dgm:t>
    </dgm:pt>
    <dgm:pt modelId="{0758E1B5-47BC-482B-A633-B75B11037445}" type="pres">
      <dgm:prSet presAssocID="{10F56C55-573C-4C2A-8960-318D5A268223}" presName="hierChild1" presStyleCnt="0">
        <dgm:presLayoutVars>
          <dgm:orgChart val="1"/>
          <dgm:chPref val="1"/>
          <dgm:dir/>
          <dgm:animOne val="branch"/>
          <dgm:animLvl val="lvl"/>
          <dgm:resizeHandles/>
        </dgm:presLayoutVars>
      </dgm:prSet>
      <dgm:spPr/>
      <dgm:t>
        <a:bodyPr/>
        <a:lstStyle/>
        <a:p>
          <a:endParaRPr kumimoji="1" lang="ja-JP" altLang="en-US"/>
        </a:p>
      </dgm:t>
    </dgm:pt>
    <dgm:pt modelId="{2A37D473-1243-4BCC-B76D-9B430DF46564}" type="pres">
      <dgm:prSet presAssocID="{CE9673BF-51AA-4C2E-A62C-807615A5562B}" presName="hierRoot1" presStyleCnt="0">
        <dgm:presLayoutVars>
          <dgm:hierBranch val="init"/>
        </dgm:presLayoutVars>
      </dgm:prSet>
      <dgm:spPr/>
    </dgm:pt>
    <dgm:pt modelId="{5AAC6A8B-A872-4996-A8A9-EC8AB3CFCA15}" type="pres">
      <dgm:prSet presAssocID="{CE9673BF-51AA-4C2E-A62C-807615A5562B}" presName="rootComposite1" presStyleCnt="0"/>
      <dgm:spPr/>
    </dgm:pt>
    <dgm:pt modelId="{F36BE8FA-C6BD-40AF-8DE7-CC34DBEF4898}" type="pres">
      <dgm:prSet presAssocID="{CE9673BF-51AA-4C2E-A62C-807615A5562B}" presName="rootText1" presStyleLbl="node0" presStyleIdx="0" presStyleCnt="1">
        <dgm:presLayoutVars>
          <dgm:chPref val="3"/>
        </dgm:presLayoutVars>
      </dgm:prSet>
      <dgm:spPr/>
      <dgm:t>
        <a:bodyPr/>
        <a:lstStyle/>
        <a:p>
          <a:endParaRPr kumimoji="1" lang="ja-JP" altLang="en-US"/>
        </a:p>
      </dgm:t>
    </dgm:pt>
    <dgm:pt modelId="{04D5B1A8-F6C2-4F8D-BA3F-09CCBF22CD4F}" type="pres">
      <dgm:prSet presAssocID="{CE9673BF-51AA-4C2E-A62C-807615A5562B}" presName="rootConnector1" presStyleLbl="node1" presStyleIdx="0" presStyleCnt="0"/>
      <dgm:spPr/>
      <dgm:t>
        <a:bodyPr/>
        <a:lstStyle/>
        <a:p>
          <a:endParaRPr kumimoji="1" lang="ja-JP" altLang="en-US"/>
        </a:p>
      </dgm:t>
    </dgm:pt>
    <dgm:pt modelId="{F76E8FF2-B978-41F3-BCD5-0758DA7E4C83}" type="pres">
      <dgm:prSet presAssocID="{CE9673BF-51AA-4C2E-A62C-807615A5562B}" presName="hierChild2" presStyleCnt="0"/>
      <dgm:spPr/>
    </dgm:pt>
    <dgm:pt modelId="{CAE249FB-1DE2-49EB-B6FD-C37B190FEAFF}" type="pres">
      <dgm:prSet presAssocID="{A0DAFD87-9105-416B-BF5B-5DE06952BC1A}" presName="Name37" presStyleLbl="parChTrans1D2" presStyleIdx="0" presStyleCnt="2"/>
      <dgm:spPr/>
      <dgm:t>
        <a:bodyPr/>
        <a:lstStyle/>
        <a:p>
          <a:endParaRPr kumimoji="1" lang="ja-JP" altLang="en-US"/>
        </a:p>
      </dgm:t>
    </dgm:pt>
    <dgm:pt modelId="{11783277-9A7E-4929-B9AD-8B72354B8575}" type="pres">
      <dgm:prSet presAssocID="{15081DAF-37C7-49EC-8B47-9135784C11F4}" presName="hierRoot2" presStyleCnt="0">
        <dgm:presLayoutVars>
          <dgm:hierBranch val="init"/>
        </dgm:presLayoutVars>
      </dgm:prSet>
      <dgm:spPr/>
    </dgm:pt>
    <dgm:pt modelId="{35A2CAE4-744B-4ADE-B53F-FCF5ED9DF410}" type="pres">
      <dgm:prSet presAssocID="{15081DAF-37C7-49EC-8B47-9135784C11F4}" presName="rootComposite" presStyleCnt="0"/>
      <dgm:spPr/>
    </dgm:pt>
    <dgm:pt modelId="{A939DBF8-7C29-42BA-91AB-C402B243A3F6}" type="pres">
      <dgm:prSet presAssocID="{15081DAF-37C7-49EC-8B47-9135784C11F4}" presName="rootText" presStyleLbl="node2" presStyleIdx="0" presStyleCnt="2">
        <dgm:presLayoutVars>
          <dgm:chPref val="3"/>
        </dgm:presLayoutVars>
      </dgm:prSet>
      <dgm:spPr/>
      <dgm:t>
        <a:bodyPr/>
        <a:lstStyle/>
        <a:p>
          <a:endParaRPr kumimoji="1" lang="ja-JP" altLang="en-US"/>
        </a:p>
      </dgm:t>
    </dgm:pt>
    <dgm:pt modelId="{0A4C46D1-9121-4869-B3A3-664390DE7E08}" type="pres">
      <dgm:prSet presAssocID="{15081DAF-37C7-49EC-8B47-9135784C11F4}" presName="rootConnector" presStyleLbl="node2" presStyleIdx="0" presStyleCnt="2"/>
      <dgm:spPr/>
      <dgm:t>
        <a:bodyPr/>
        <a:lstStyle/>
        <a:p>
          <a:endParaRPr kumimoji="1" lang="ja-JP" altLang="en-US"/>
        </a:p>
      </dgm:t>
    </dgm:pt>
    <dgm:pt modelId="{A67E307E-3A6D-42CE-AA51-499B9EB2FCA4}" type="pres">
      <dgm:prSet presAssocID="{15081DAF-37C7-49EC-8B47-9135784C11F4}" presName="hierChild4" presStyleCnt="0"/>
      <dgm:spPr/>
    </dgm:pt>
    <dgm:pt modelId="{A0629634-024B-419A-8D72-D62BE2EFE8F3}" type="pres">
      <dgm:prSet presAssocID="{15081DAF-37C7-49EC-8B47-9135784C11F4}" presName="hierChild5" presStyleCnt="0"/>
      <dgm:spPr/>
    </dgm:pt>
    <dgm:pt modelId="{130C2E31-BB3F-4FD6-ACFF-CDFF37523A53}" type="pres">
      <dgm:prSet presAssocID="{B73A43B5-71B8-4827-8C43-B6EA832CE76D}" presName="Name37" presStyleLbl="parChTrans1D2" presStyleIdx="1" presStyleCnt="2"/>
      <dgm:spPr/>
      <dgm:t>
        <a:bodyPr/>
        <a:lstStyle/>
        <a:p>
          <a:endParaRPr kumimoji="1" lang="ja-JP" altLang="en-US"/>
        </a:p>
      </dgm:t>
    </dgm:pt>
    <dgm:pt modelId="{36477A12-F1E7-4902-9C61-E95B78968FDD}" type="pres">
      <dgm:prSet presAssocID="{C00C7BE6-092F-40F5-8208-42FEF5CE92C0}" presName="hierRoot2" presStyleCnt="0">
        <dgm:presLayoutVars>
          <dgm:hierBranch val="init"/>
        </dgm:presLayoutVars>
      </dgm:prSet>
      <dgm:spPr/>
    </dgm:pt>
    <dgm:pt modelId="{737A0A1C-9CBC-427C-96BE-B6F28687CC85}" type="pres">
      <dgm:prSet presAssocID="{C00C7BE6-092F-40F5-8208-42FEF5CE92C0}" presName="rootComposite" presStyleCnt="0"/>
      <dgm:spPr/>
    </dgm:pt>
    <dgm:pt modelId="{34D8533B-F664-4EEC-8684-E0AA90658AF4}" type="pres">
      <dgm:prSet presAssocID="{C00C7BE6-092F-40F5-8208-42FEF5CE92C0}" presName="rootText" presStyleLbl="node2" presStyleIdx="1" presStyleCnt="2">
        <dgm:presLayoutVars>
          <dgm:chPref val="3"/>
        </dgm:presLayoutVars>
      </dgm:prSet>
      <dgm:spPr/>
      <dgm:t>
        <a:bodyPr/>
        <a:lstStyle/>
        <a:p>
          <a:endParaRPr kumimoji="1" lang="ja-JP" altLang="en-US"/>
        </a:p>
      </dgm:t>
    </dgm:pt>
    <dgm:pt modelId="{EF656346-88CD-47D1-B7D7-7CBE6C8A4B6B}" type="pres">
      <dgm:prSet presAssocID="{C00C7BE6-092F-40F5-8208-42FEF5CE92C0}" presName="rootConnector" presStyleLbl="node2" presStyleIdx="1" presStyleCnt="2"/>
      <dgm:spPr/>
      <dgm:t>
        <a:bodyPr/>
        <a:lstStyle/>
        <a:p>
          <a:endParaRPr kumimoji="1" lang="ja-JP" altLang="en-US"/>
        </a:p>
      </dgm:t>
    </dgm:pt>
    <dgm:pt modelId="{F29C6337-CEC3-41BC-93D8-2B378A662116}" type="pres">
      <dgm:prSet presAssocID="{C00C7BE6-092F-40F5-8208-42FEF5CE92C0}" presName="hierChild4" presStyleCnt="0"/>
      <dgm:spPr/>
    </dgm:pt>
    <dgm:pt modelId="{BD994370-2796-4718-85F4-5C6B6A8C8D18}" type="pres">
      <dgm:prSet presAssocID="{C5E44F1B-F5F0-42A7-8EB0-7EACA41A0257}" presName="Name37" presStyleLbl="parChTrans1D3" presStyleIdx="0" presStyleCnt="2"/>
      <dgm:spPr/>
      <dgm:t>
        <a:bodyPr/>
        <a:lstStyle/>
        <a:p>
          <a:endParaRPr kumimoji="1" lang="ja-JP" altLang="en-US"/>
        </a:p>
      </dgm:t>
    </dgm:pt>
    <dgm:pt modelId="{3AEC82A5-1181-4DDD-BF6D-871F131E918F}" type="pres">
      <dgm:prSet presAssocID="{AEFFFCCC-495E-4937-A47F-CA4C7844DAC0}" presName="hierRoot2" presStyleCnt="0">
        <dgm:presLayoutVars>
          <dgm:hierBranch val="init"/>
        </dgm:presLayoutVars>
      </dgm:prSet>
      <dgm:spPr/>
    </dgm:pt>
    <dgm:pt modelId="{FA5B4687-9F50-4E6C-B62E-7D1845E268E0}" type="pres">
      <dgm:prSet presAssocID="{AEFFFCCC-495E-4937-A47F-CA4C7844DAC0}" presName="rootComposite" presStyleCnt="0"/>
      <dgm:spPr/>
    </dgm:pt>
    <dgm:pt modelId="{ACB4E088-DD21-4031-8858-2C0D24487B71}" type="pres">
      <dgm:prSet presAssocID="{AEFFFCCC-495E-4937-A47F-CA4C7844DAC0}" presName="rootText" presStyleLbl="node3" presStyleIdx="0" presStyleCnt="2">
        <dgm:presLayoutVars>
          <dgm:chPref val="3"/>
        </dgm:presLayoutVars>
      </dgm:prSet>
      <dgm:spPr/>
      <dgm:t>
        <a:bodyPr/>
        <a:lstStyle/>
        <a:p>
          <a:endParaRPr kumimoji="1" lang="ja-JP" altLang="en-US"/>
        </a:p>
      </dgm:t>
    </dgm:pt>
    <dgm:pt modelId="{AC12C277-D1B6-410F-AB32-3DBE379C6EF8}" type="pres">
      <dgm:prSet presAssocID="{AEFFFCCC-495E-4937-A47F-CA4C7844DAC0}" presName="rootConnector" presStyleLbl="node3" presStyleIdx="0" presStyleCnt="2"/>
      <dgm:spPr/>
      <dgm:t>
        <a:bodyPr/>
        <a:lstStyle/>
        <a:p>
          <a:endParaRPr kumimoji="1" lang="ja-JP" altLang="en-US"/>
        </a:p>
      </dgm:t>
    </dgm:pt>
    <dgm:pt modelId="{BCF0C70E-C100-45D4-BC62-AA4442F00AAC}" type="pres">
      <dgm:prSet presAssocID="{AEFFFCCC-495E-4937-A47F-CA4C7844DAC0}" presName="hierChild4" presStyleCnt="0"/>
      <dgm:spPr/>
    </dgm:pt>
    <dgm:pt modelId="{FC537086-59D2-4FA4-9262-3822A409FB09}" type="pres">
      <dgm:prSet presAssocID="{AEFFFCCC-495E-4937-A47F-CA4C7844DAC0}" presName="hierChild5" presStyleCnt="0"/>
      <dgm:spPr/>
    </dgm:pt>
    <dgm:pt modelId="{ECAA18F2-2A91-42E3-8591-AED21251053C}" type="pres">
      <dgm:prSet presAssocID="{58683D63-AE2D-4F84-A022-00BC4E9FC491}" presName="Name37" presStyleLbl="parChTrans1D3" presStyleIdx="1" presStyleCnt="2"/>
      <dgm:spPr/>
      <dgm:t>
        <a:bodyPr/>
        <a:lstStyle/>
        <a:p>
          <a:endParaRPr kumimoji="1" lang="ja-JP" altLang="en-US"/>
        </a:p>
      </dgm:t>
    </dgm:pt>
    <dgm:pt modelId="{3503D5D5-AF55-476A-92E0-4472C2CF7039}" type="pres">
      <dgm:prSet presAssocID="{5BD0592B-561C-461E-930E-5034156F31EA}" presName="hierRoot2" presStyleCnt="0">
        <dgm:presLayoutVars>
          <dgm:hierBranch val="init"/>
        </dgm:presLayoutVars>
      </dgm:prSet>
      <dgm:spPr/>
    </dgm:pt>
    <dgm:pt modelId="{3D6653F0-DC8F-4831-A3BB-4D4C7D20B98C}" type="pres">
      <dgm:prSet presAssocID="{5BD0592B-561C-461E-930E-5034156F31EA}" presName="rootComposite" presStyleCnt="0"/>
      <dgm:spPr/>
    </dgm:pt>
    <dgm:pt modelId="{8BBE28F2-D81F-4BE9-B9E7-0DFC60922136}" type="pres">
      <dgm:prSet presAssocID="{5BD0592B-561C-461E-930E-5034156F31EA}" presName="rootText" presStyleLbl="node3" presStyleIdx="1" presStyleCnt="2">
        <dgm:presLayoutVars>
          <dgm:chPref val="3"/>
        </dgm:presLayoutVars>
      </dgm:prSet>
      <dgm:spPr/>
      <dgm:t>
        <a:bodyPr/>
        <a:lstStyle/>
        <a:p>
          <a:endParaRPr kumimoji="1" lang="ja-JP" altLang="en-US"/>
        </a:p>
      </dgm:t>
    </dgm:pt>
    <dgm:pt modelId="{63746A42-6288-44DD-8A52-5D7CAD60E788}" type="pres">
      <dgm:prSet presAssocID="{5BD0592B-561C-461E-930E-5034156F31EA}" presName="rootConnector" presStyleLbl="node3" presStyleIdx="1" presStyleCnt="2"/>
      <dgm:spPr/>
      <dgm:t>
        <a:bodyPr/>
        <a:lstStyle/>
        <a:p>
          <a:endParaRPr kumimoji="1" lang="ja-JP" altLang="en-US"/>
        </a:p>
      </dgm:t>
    </dgm:pt>
    <dgm:pt modelId="{89DADC6F-C557-46AB-B9F1-F2D3F3EB5961}" type="pres">
      <dgm:prSet presAssocID="{5BD0592B-561C-461E-930E-5034156F31EA}" presName="hierChild4" presStyleCnt="0"/>
      <dgm:spPr/>
    </dgm:pt>
    <dgm:pt modelId="{2DCB40DC-61E7-4BA6-B849-22CF99DA70A8}" type="pres">
      <dgm:prSet presAssocID="{5BD0592B-561C-461E-930E-5034156F31EA}" presName="hierChild5" presStyleCnt="0"/>
      <dgm:spPr/>
    </dgm:pt>
    <dgm:pt modelId="{4352C6CA-8833-44C3-9532-38BA97C61A38}" type="pres">
      <dgm:prSet presAssocID="{C00C7BE6-092F-40F5-8208-42FEF5CE92C0}" presName="hierChild5" presStyleCnt="0"/>
      <dgm:spPr/>
    </dgm:pt>
    <dgm:pt modelId="{8EC81674-47EE-4CF6-BC5E-515B04E0A61A}" type="pres">
      <dgm:prSet presAssocID="{CE9673BF-51AA-4C2E-A62C-807615A5562B}" presName="hierChild3" presStyleCnt="0"/>
      <dgm:spPr/>
    </dgm:pt>
  </dgm:ptLst>
  <dgm:cxnLst>
    <dgm:cxn modelId="{E15FB194-E113-4F26-A000-9FA2F1C371D1}" type="presOf" srcId="{CE9673BF-51AA-4C2E-A62C-807615A5562B}" destId="{F36BE8FA-C6BD-40AF-8DE7-CC34DBEF4898}" srcOrd="0" destOrd="0" presId="urn:microsoft.com/office/officeart/2005/8/layout/orgChart1"/>
    <dgm:cxn modelId="{AC8029A9-6BD2-47BC-B7F7-CA1BC3737644}" srcId="{10F56C55-573C-4C2A-8960-318D5A268223}" destId="{CE9673BF-51AA-4C2E-A62C-807615A5562B}" srcOrd="0" destOrd="0" parTransId="{F2E5B4A9-3673-4D4B-9513-469DE3267CE9}" sibTransId="{4C4C75C4-FD4A-415F-8A71-DA407E5A395E}"/>
    <dgm:cxn modelId="{66494A8A-CBD2-42D4-87C1-F08460DF9C62}" type="presOf" srcId="{15081DAF-37C7-49EC-8B47-9135784C11F4}" destId="{0A4C46D1-9121-4869-B3A3-664390DE7E08}" srcOrd="1" destOrd="0" presId="urn:microsoft.com/office/officeart/2005/8/layout/orgChart1"/>
    <dgm:cxn modelId="{F774B1A7-D33C-4161-9108-E2F37A8C5F6C}" srcId="{CE9673BF-51AA-4C2E-A62C-807615A5562B}" destId="{15081DAF-37C7-49EC-8B47-9135784C11F4}" srcOrd="0" destOrd="0" parTransId="{A0DAFD87-9105-416B-BF5B-5DE06952BC1A}" sibTransId="{262D5FFF-3565-4D9B-9AC2-6B83DBADFA5D}"/>
    <dgm:cxn modelId="{40321DE9-390F-49B2-8F01-F52B060E8B79}" type="presOf" srcId="{58683D63-AE2D-4F84-A022-00BC4E9FC491}" destId="{ECAA18F2-2A91-42E3-8591-AED21251053C}" srcOrd="0" destOrd="0" presId="urn:microsoft.com/office/officeart/2005/8/layout/orgChart1"/>
    <dgm:cxn modelId="{ACA95A95-4119-4C61-98CA-C61364990A91}" type="presOf" srcId="{10F56C55-573C-4C2A-8960-318D5A268223}" destId="{0758E1B5-47BC-482B-A633-B75B11037445}" srcOrd="0" destOrd="0" presId="urn:microsoft.com/office/officeart/2005/8/layout/orgChart1"/>
    <dgm:cxn modelId="{2F70AAE6-CE0D-495D-9134-E4D1427C50A9}" type="presOf" srcId="{C00C7BE6-092F-40F5-8208-42FEF5CE92C0}" destId="{34D8533B-F664-4EEC-8684-E0AA90658AF4}" srcOrd="0" destOrd="0" presId="urn:microsoft.com/office/officeart/2005/8/layout/orgChart1"/>
    <dgm:cxn modelId="{2C69FCF4-C7BA-4D35-82D8-CDF2A702E8AD}" type="presOf" srcId="{5BD0592B-561C-461E-930E-5034156F31EA}" destId="{63746A42-6288-44DD-8A52-5D7CAD60E788}" srcOrd="1" destOrd="0" presId="urn:microsoft.com/office/officeart/2005/8/layout/orgChart1"/>
    <dgm:cxn modelId="{9EF633DD-A594-450B-AE07-DD8C360295F6}" type="presOf" srcId="{5BD0592B-561C-461E-930E-5034156F31EA}" destId="{8BBE28F2-D81F-4BE9-B9E7-0DFC60922136}" srcOrd="0" destOrd="0" presId="urn:microsoft.com/office/officeart/2005/8/layout/orgChart1"/>
    <dgm:cxn modelId="{722F65E2-233C-47A8-AFF9-938A4DCEC9ED}" type="presOf" srcId="{C00C7BE6-092F-40F5-8208-42FEF5CE92C0}" destId="{EF656346-88CD-47D1-B7D7-7CBE6C8A4B6B}" srcOrd="1" destOrd="0" presId="urn:microsoft.com/office/officeart/2005/8/layout/orgChart1"/>
    <dgm:cxn modelId="{6617939A-4174-43A3-BE16-B99D12C74E7D}" srcId="{C00C7BE6-092F-40F5-8208-42FEF5CE92C0}" destId="{AEFFFCCC-495E-4937-A47F-CA4C7844DAC0}" srcOrd="0" destOrd="0" parTransId="{C5E44F1B-F5F0-42A7-8EB0-7EACA41A0257}" sibTransId="{A175F22E-6EAC-4A27-8F31-72E4A018D7BD}"/>
    <dgm:cxn modelId="{1940C8A2-C42D-46E6-A62B-2D3F43299332}" srcId="{C00C7BE6-092F-40F5-8208-42FEF5CE92C0}" destId="{5BD0592B-561C-461E-930E-5034156F31EA}" srcOrd="1" destOrd="0" parTransId="{58683D63-AE2D-4F84-A022-00BC4E9FC491}" sibTransId="{3CF65A1E-89EE-4651-94E6-C4A36E49EE5B}"/>
    <dgm:cxn modelId="{09798144-5BB6-470B-91F3-9A8C65E3FEFA}" type="presOf" srcId="{AEFFFCCC-495E-4937-A47F-CA4C7844DAC0}" destId="{ACB4E088-DD21-4031-8858-2C0D24487B71}" srcOrd="0" destOrd="0" presId="urn:microsoft.com/office/officeart/2005/8/layout/orgChart1"/>
    <dgm:cxn modelId="{D915AED7-BBB9-4D2C-B921-28840A0F4AEF}" srcId="{CE9673BF-51AA-4C2E-A62C-807615A5562B}" destId="{C00C7BE6-092F-40F5-8208-42FEF5CE92C0}" srcOrd="1" destOrd="0" parTransId="{B73A43B5-71B8-4827-8C43-B6EA832CE76D}" sibTransId="{7AD21E19-1518-4BEF-AE59-743F4FCC8474}"/>
    <dgm:cxn modelId="{FD8F79BB-89C5-4713-82CB-EC68D6F655EC}" type="presOf" srcId="{AEFFFCCC-495E-4937-A47F-CA4C7844DAC0}" destId="{AC12C277-D1B6-410F-AB32-3DBE379C6EF8}" srcOrd="1" destOrd="0" presId="urn:microsoft.com/office/officeart/2005/8/layout/orgChart1"/>
    <dgm:cxn modelId="{39E62F87-821A-4883-BF31-2B88B7A2DEAE}" type="presOf" srcId="{15081DAF-37C7-49EC-8B47-9135784C11F4}" destId="{A939DBF8-7C29-42BA-91AB-C402B243A3F6}" srcOrd="0" destOrd="0" presId="urn:microsoft.com/office/officeart/2005/8/layout/orgChart1"/>
    <dgm:cxn modelId="{E2C6512B-C712-46DC-910F-84318A7C4AB7}" type="presOf" srcId="{CE9673BF-51AA-4C2E-A62C-807615A5562B}" destId="{04D5B1A8-F6C2-4F8D-BA3F-09CCBF22CD4F}" srcOrd="1" destOrd="0" presId="urn:microsoft.com/office/officeart/2005/8/layout/orgChart1"/>
    <dgm:cxn modelId="{F0D95935-7221-4512-B954-21BF2BD6CBB9}" type="presOf" srcId="{C5E44F1B-F5F0-42A7-8EB0-7EACA41A0257}" destId="{BD994370-2796-4718-85F4-5C6B6A8C8D18}" srcOrd="0" destOrd="0" presId="urn:microsoft.com/office/officeart/2005/8/layout/orgChart1"/>
    <dgm:cxn modelId="{4BCF570F-9405-47CA-AE6F-DF73B462CAAC}" type="presOf" srcId="{B73A43B5-71B8-4827-8C43-B6EA832CE76D}" destId="{130C2E31-BB3F-4FD6-ACFF-CDFF37523A53}" srcOrd="0" destOrd="0" presId="urn:microsoft.com/office/officeart/2005/8/layout/orgChart1"/>
    <dgm:cxn modelId="{41A6C3C4-87B6-429F-8FCF-2808ADFB3CA2}" type="presOf" srcId="{A0DAFD87-9105-416B-BF5B-5DE06952BC1A}" destId="{CAE249FB-1DE2-49EB-B6FD-C37B190FEAFF}" srcOrd="0" destOrd="0" presId="urn:microsoft.com/office/officeart/2005/8/layout/orgChart1"/>
    <dgm:cxn modelId="{C3E08FBC-FDDF-49E6-8AD4-E587C7A38363}" type="presParOf" srcId="{0758E1B5-47BC-482B-A633-B75B11037445}" destId="{2A37D473-1243-4BCC-B76D-9B430DF46564}" srcOrd="0" destOrd="0" presId="urn:microsoft.com/office/officeart/2005/8/layout/orgChart1"/>
    <dgm:cxn modelId="{0FDE870A-A9DF-489C-9FFC-AFEA4157DE55}" type="presParOf" srcId="{2A37D473-1243-4BCC-B76D-9B430DF46564}" destId="{5AAC6A8B-A872-4996-A8A9-EC8AB3CFCA15}" srcOrd="0" destOrd="0" presId="urn:microsoft.com/office/officeart/2005/8/layout/orgChart1"/>
    <dgm:cxn modelId="{AECF9F13-386D-4CD1-848F-CCC2E29890F8}" type="presParOf" srcId="{5AAC6A8B-A872-4996-A8A9-EC8AB3CFCA15}" destId="{F36BE8FA-C6BD-40AF-8DE7-CC34DBEF4898}" srcOrd="0" destOrd="0" presId="urn:microsoft.com/office/officeart/2005/8/layout/orgChart1"/>
    <dgm:cxn modelId="{64553E66-FFCA-4784-BE07-F793CC77B021}" type="presParOf" srcId="{5AAC6A8B-A872-4996-A8A9-EC8AB3CFCA15}" destId="{04D5B1A8-F6C2-4F8D-BA3F-09CCBF22CD4F}" srcOrd="1" destOrd="0" presId="urn:microsoft.com/office/officeart/2005/8/layout/orgChart1"/>
    <dgm:cxn modelId="{F6AED59D-51D0-4008-BC28-135EB96DA995}" type="presParOf" srcId="{2A37D473-1243-4BCC-B76D-9B430DF46564}" destId="{F76E8FF2-B978-41F3-BCD5-0758DA7E4C83}" srcOrd="1" destOrd="0" presId="urn:microsoft.com/office/officeart/2005/8/layout/orgChart1"/>
    <dgm:cxn modelId="{E6710526-1492-46C1-81E6-91AE23D65B8B}" type="presParOf" srcId="{F76E8FF2-B978-41F3-BCD5-0758DA7E4C83}" destId="{CAE249FB-1DE2-49EB-B6FD-C37B190FEAFF}" srcOrd="0" destOrd="0" presId="urn:microsoft.com/office/officeart/2005/8/layout/orgChart1"/>
    <dgm:cxn modelId="{6CF549AC-732B-4FFC-ABDE-E7938341C10B}" type="presParOf" srcId="{F76E8FF2-B978-41F3-BCD5-0758DA7E4C83}" destId="{11783277-9A7E-4929-B9AD-8B72354B8575}" srcOrd="1" destOrd="0" presId="urn:microsoft.com/office/officeart/2005/8/layout/orgChart1"/>
    <dgm:cxn modelId="{5E06AABA-70A8-4EAA-AD87-A0C6C0B1674C}" type="presParOf" srcId="{11783277-9A7E-4929-B9AD-8B72354B8575}" destId="{35A2CAE4-744B-4ADE-B53F-FCF5ED9DF410}" srcOrd="0" destOrd="0" presId="urn:microsoft.com/office/officeart/2005/8/layout/orgChart1"/>
    <dgm:cxn modelId="{B206234E-D46B-4E67-BB8A-6977945C214B}" type="presParOf" srcId="{35A2CAE4-744B-4ADE-B53F-FCF5ED9DF410}" destId="{A939DBF8-7C29-42BA-91AB-C402B243A3F6}" srcOrd="0" destOrd="0" presId="urn:microsoft.com/office/officeart/2005/8/layout/orgChart1"/>
    <dgm:cxn modelId="{276B648A-D978-4BB0-A519-8492405FABB9}" type="presParOf" srcId="{35A2CAE4-744B-4ADE-B53F-FCF5ED9DF410}" destId="{0A4C46D1-9121-4869-B3A3-664390DE7E08}" srcOrd="1" destOrd="0" presId="urn:microsoft.com/office/officeart/2005/8/layout/orgChart1"/>
    <dgm:cxn modelId="{1A538B1E-9B23-4BDE-BCDF-F2F2987788DD}" type="presParOf" srcId="{11783277-9A7E-4929-B9AD-8B72354B8575}" destId="{A67E307E-3A6D-42CE-AA51-499B9EB2FCA4}" srcOrd="1" destOrd="0" presId="urn:microsoft.com/office/officeart/2005/8/layout/orgChart1"/>
    <dgm:cxn modelId="{D6EBFCE8-CD90-4280-B5D5-6AF49BC69BD7}" type="presParOf" srcId="{11783277-9A7E-4929-B9AD-8B72354B8575}" destId="{A0629634-024B-419A-8D72-D62BE2EFE8F3}" srcOrd="2" destOrd="0" presId="urn:microsoft.com/office/officeart/2005/8/layout/orgChart1"/>
    <dgm:cxn modelId="{78CE0DCF-E3CE-41A2-BBF3-99EB8ADA9023}" type="presParOf" srcId="{F76E8FF2-B978-41F3-BCD5-0758DA7E4C83}" destId="{130C2E31-BB3F-4FD6-ACFF-CDFF37523A53}" srcOrd="2" destOrd="0" presId="urn:microsoft.com/office/officeart/2005/8/layout/orgChart1"/>
    <dgm:cxn modelId="{4CA407CC-4BC1-4EDD-A739-C20AFD2B2AA5}" type="presParOf" srcId="{F76E8FF2-B978-41F3-BCD5-0758DA7E4C83}" destId="{36477A12-F1E7-4902-9C61-E95B78968FDD}" srcOrd="3" destOrd="0" presId="urn:microsoft.com/office/officeart/2005/8/layout/orgChart1"/>
    <dgm:cxn modelId="{FF64FC65-2278-48AC-A83E-AFBEC6D0A51A}" type="presParOf" srcId="{36477A12-F1E7-4902-9C61-E95B78968FDD}" destId="{737A0A1C-9CBC-427C-96BE-B6F28687CC85}" srcOrd="0" destOrd="0" presId="urn:microsoft.com/office/officeart/2005/8/layout/orgChart1"/>
    <dgm:cxn modelId="{F9BD4F6A-33DE-4DF2-9488-E99B67E81BA1}" type="presParOf" srcId="{737A0A1C-9CBC-427C-96BE-B6F28687CC85}" destId="{34D8533B-F664-4EEC-8684-E0AA90658AF4}" srcOrd="0" destOrd="0" presId="urn:microsoft.com/office/officeart/2005/8/layout/orgChart1"/>
    <dgm:cxn modelId="{33ACDBDB-1241-4831-A250-2DFA65E72426}" type="presParOf" srcId="{737A0A1C-9CBC-427C-96BE-B6F28687CC85}" destId="{EF656346-88CD-47D1-B7D7-7CBE6C8A4B6B}" srcOrd="1" destOrd="0" presId="urn:microsoft.com/office/officeart/2005/8/layout/orgChart1"/>
    <dgm:cxn modelId="{7D54155C-92CA-47A0-9200-B65CDC58F89F}" type="presParOf" srcId="{36477A12-F1E7-4902-9C61-E95B78968FDD}" destId="{F29C6337-CEC3-41BC-93D8-2B378A662116}" srcOrd="1" destOrd="0" presId="urn:microsoft.com/office/officeart/2005/8/layout/orgChart1"/>
    <dgm:cxn modelId="{8C0B11D7-17A0-4AEE-BB66-E78AA27C515D}" type="presParOf" srcId="{F29C6337-CEC3-41BC-93D8-2B378A662116}" destId="{BD994370-2796-4718-85F4-5C6B6A8C8D18}" srcOrd="0" destOrd="0" presId="urn:microsoft.com/office/officeart/2005/8/layout/orgChart1"/>
    <dgm:cxn modelId="{635CE076-75D3-4B32-8681-D7F6AF1DE9E3}" type="presParOf" srcId="{F29C6337-CEC3-41BC-93D8-2B378A662116}" destId="{3AEC82A5-1181-4DDD-BF6D-871F131E918F}" srcOrd="1" destOrd="0" presId="urn:microsoft.com/office/officeart/2005/8/layout/orgChart1"/>
    <dgm:cxn modelId="{F9AC1329-68D1-43F2-AC06-721786F6CDD5}" type="presParOf" srcId="{3AEC82A5-1181-4DDD-BF6D-871F131E918F}" destId="{FA5B4687-9F50-4E6C-B62E-7D1845E268E0}" srcOrd="0" destOrd="0" presId="urn:microsoft.com/office/officeart/2005/8/layout/orgChart1"/>
    <dgm:cxn modelId="{1F5A8715-67ED-4B35-A625-65CF1C0302C9}" type="presParOf" srcId="{FA5B4687-9F50-4E6C-B62E-7D1845E268E0}" destId="{ACB4E088-DD21-4031-8858-2C0D24487B71}" srcOrd="0" destOrd="0" presId="urn:microsoft.com/office/officeart/2005/8/layout/orgChart1"/>
    <dgm:cxn modelId="{55F46361-1619-47E5-A810-F7077985654B}" type="presParOf" srcId="{FA5B4687-9F50-4E6C-B62E-7D1845E268E0}" destId="{AC12C277-D1B6-410F-AB32-3DBE379C6EF8}" srcOrd="1" destOrd="0" presId="urn:microsoft.com/office/officeart/2005/8/layout/orgChart1"/>
    <dgm:cxn modelId="{5764776F-4C0E-4474-BF05-DAB89547C3D8}" type="presParOf" srcId="{3AEC82A5-1181-4DDD-BF6D-871F131E918F}" destId="{BCF0C70E-C100-45D4-BC62-AA4442F00AAC}" srcOrd="1" destOrd="0" presId="urn:microsoft.com/office/officeart/2005/8/layout/orgChart1"/>
    <dgm:cxn modelId="{DDFE17ED-5616-4692-9519-C2FDEF42688F}" type="presParOf" srcId="{3AEC82A5-1181-4DDD-BF6D-871F131E918F}" destId="{FC537086-59D2-4FA4-9262-3822A409FB09}" srcOrd="2" destOrd="0" presId="urn:microsoft.com/office/officeart/2005/8/layout/orgChart1"/>
    <dgm:cxn modelId="{26955D69-1B54-4D66-AEB8-BF6006E6496E}" type="presParOf" srcId="{F29C6337-CEC3-41BC-93D8-2B378A662116}" destId="{ECAA18F2-2A91-42E3-8591-AED21251053C}" srcOrd="2" destOrd="0" presId="urn:microsoft.com/office/officeart/2005/8/layout/orgChart1"/>
    <dgm:cxn modelId="{6F14521A-9F1E-4A42-A485-CE6242851B4A}" type="presParOf" srcId="{F29C6337-CEC3-41BC-93D8-2B378A662116}" destId="{3503D5D5-AF55-476A-92E0-4472C2CF7039}" srcOrd="3" destOrd="0" presId="urn:microsoft.com/office/officeart/2005/8/layout/orgChart1"/>
    <dgm:cxn modelId="{9AF8B15C-583F-4995-A9C4-A2973780FA81}" type="presParOf" srcId="{3503D5D5-AF55-476A-92E0-4472C2CF7039}" destId="{3D6653F0-DC8F-4831-A3BB-4D4C7D20B98C}" srcOrd="0" destOrd="0" presId="urn:microsoft.com/office/officeart/2005/8/layout/orgChart1"/>
    <dgm:cxn modelId="{6865353A-EE07-488F-AB33-172B56005033}" type="presParOf" srcId="{3D6653F0-DC8F-4831-A3BB-4D4C7D20B98C}" destId="{8BBE28F2-D81F-4BE9-B9E7-0DFC60922136}" srcOrd="0" destOrd="0" presId="urn:microsoft.com/office/officeart/2005/8/layout/orgChart1"/>
    <dgm:cxn modelId="{C332D30A-7299-4B2D-9244-22DDDD899BFA}" type="presParOf" srcId="{3D6653F0-DC8F-4831-A3BB-4D4C7D20B98C}" destId="{63746A42-6288-44DD-8A52-5D7CAD60E788}" srcOrd="1" destOrd="0" presId="urn:microsoft.com/office/officeart/2005/8/layout/orgChart1"/>
    <dgm:cxn modelId="{5113B48E-8C32-4617-A1CE-DC645A5C53ED}" type="presParOf" srcId="{3503D5D5-AF55-476A-92E0-4472C2CF7039}" destId="{89DADC6F-C557-46AB-B9F1-F2D3F3EB5961}" srcOrd="1" destOrd="0" presId="urn:microsoft.com/office/officeart/2005/8/layout/orgChart1"/>
    <dgm:cxn modelId="{A29ED365-9D80-4ADD-8D60-9852A1A9B622}" type="presParOf" srcId="{3503D5D5-AF55-476A-92E0-4472C2CF7039}" destId="{2DCB40DC-61E7-4BA6-B849-22CF99DA70A8}" srcOrd="2" destOrd="0" presId="urn:microsoft.com/office/officeart/2005/8/layout/orgChart1"/>
    <dgm:cxn modelId="{C3ACE92C-2196-47A8-B38B-2DF8108AF51C}" type="presParOf" srcId="{36477A12-F1E7-4902-9C61-E95B78968FDD}" destId="{4352C6CA-8833-44C3-9532-38BA97C61A38}" srcOrd="2" destOrd="0" presId="urn:microsoft.com/office/officeart/2005/8/layout/orgChart1"/>
    <dgm:cxn modelId="{F9DFF70F-DE43-4A34-8FA5-15B693A48AF7}" type="presParOf" srcId="{2A37D473-1243-4BCC-B76D-9B430DF46564}" destId="{8EC81674-47EE-4CF6-BC5E-515B04E0A61A}" srcOrd="2" destOrd="0" presId="urn:microsoft.com/office/officeart/2005/8/layout/orgChart1"/>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CAA18F2-2A91-42E3-8591-AED21251053C}">
      <dsp:nvSpPr>
        <dsp:cNvPr id="0" name=""/>
        <dsp:cNvSpPr/>
      </dsp:nvSpPr>
      <dsp:spPr>
        <a:xfrm>
          <a:off x="1423461" y="929080"/>
          <a:ext cx="115099" cy="897777"/>
        </a:xfrm>
        <a:custGeom>
          <a:avLst/>
          <a:gdLst/>
          <a:ahLst/>
          <a:cxnLst/>
          <a:rect l="0" t="0" r="0" b="0"/>
          <a:pathLst>
            <a:path>
              <a:moveTo>
                <a:pt x="0" y="0"/>
              </a:moveTo>
              <a:lnTo>
                <a:pt x="0" y="897777"/>
              </a:lnTo>
              <a:lnTo>
                <a:pt x="115099" y="89777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D994370-2796-4718-85F4-5C6B6A8C8D18}">
      <dsp:nvSpPr>
        <dsp:cNvPr id="0" name=""/>
        <dsp:cNvSpPr/>
      </dsp:nvSpPr>
      <dsp:spPr>
        <a:xfrm>
          <a:off x="1423461" y="929080"/>
          <a:ext cx="115099" cy="352972"/>
        </a:xfrm>
        <a:custGeom>
          <a:avLst/>
          <a:gdLst/>
          <a:ahLst/>
          <a:cxnLst/>
          <a:rect l="0" t="0" r="0" b="0"/>
          <a:pathLst>
            <a:path>
              <a:moveTo>
                <a:pt x="0" y="0"/>
              </a:moveTo>
              <a:lnTo>
                <a:pt x="0" y="352972"/>
              </a:lnTo>
              <a:lnTo>
                <a:pt x="115099" y="35297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30C2E31-BB3F-4FD6-ACFF-CDFF37523A53}">
      <dsp:nvSpPr>
        <dsp:cNvPr id="0" name=""/>
        <dsp:cNvSpPr/>
      </dsp:nvSpPr>
      <dsp:spPr>
        <a:xfrm>
          <a:off x="1266158" y="384275"/>
          <a:ext cx="464235" cy="161139"/>
        </a:xfrm>
        <a:custGeom>
          <a:avLst/>
          <a:gdLst/>
          <a:ahLst/>
          <a:cxnLst/>
          <a:rect l="0" t="0" r="0" b="0"/>
          <a:pathLst>
            <a:path>
              <a:moveTo>
                <a:pt x="0" y="0"/>
              </a:moveTo>
              <a:lnTo>
                <a:pt x="0" y="80569"/>
              </a:lnTo>
              <a:lnTo>
                <a:pt x="464235" y="80569"/>
              </a:lnTo>
              <a:lnTo>
                <a:pt x="464235" y="16113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AE249FB-1DE2-49EB-B6FD-C37B190FEAFF}">
      <dsp:nvSpPr>
        <dsp:cNvPr id="0" name=""/>
        <dsp:cNvSpPr/>
      </dsp:nvSpPr>
      <dsp:spPr>
        <a:xfrm>
          <a:off x="801923" y="384275"/>
          <a:ext cx="464235" cy="161139"/>
        </a:xfrm>
        <a:custGeom>
          <a:avLst/>
          <a:gdLst/>
          <a:ahLst/>
          <a:cxnLst/>
          <a:rect l="0" t="0" r="0" b="0"/>
          <a:pathLst>
            <a:path>
              <a:moveTo>
                <a:pt x="464235" y="0"/>
              </a:moveTo>
              <a:lnTo>
                <a:pt x="464235" y="80569"/>
              </a:lnTo>
              <a:lnTo>
                <a:pt x="0" y="80569"/>
              </a:lnTo>
              <a:lnTo>
                <a:pt x="0" y="161139"/>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36BE8FA-C6BD-40AF-8DE7-CC34DBEF4898}">
      <dsp:nvSpPr>
        <dsp:cNvPr id="0" name=""/>
        <dsp:cNvSpPr/>
      </dsp:nvSpPr>
      <dsp:spPr>
        <a:xfrm>
          <a:off x="882493" y="609"/>
          <a:ext cx="767331" cy="383665"/>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ja-JP" altLang="en-US" sz="1100" kern="1200"/>
            <a:t>全日本弓道連盟</a:t>
          </a:r>
        </a:p>
      </dsp:txBody>
      <dsp:txXfrm>
        <a:off x="882493" y="609"/>
        <a:ext cx="767331" cy="383665"/>
      </dsp:txXfrm>
    </dsp:sp>
    <dsp:sp modelId="{A939DBF8-7C29-42BA-91AB-C402B243A3F6}">
      <dsp:nvSpPr>
        <dsp:cNvPr id="0" name=""/>
        <dsp:cNvSpPr/>
      </dsp:nvSpPr>
      <dsp:spPr>
        <a:xfrm>
          <a:off x="418257" y="545414"/>
          <a:ext cx="767331" cy="383665"/>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ja-JP" altLang="en-US" sz="1100" kern="1200"/>
            <a:t>各都道府県弓道連盟</a:t>
          </a:r>
        </a:p>
      </dsp:txBody>
      <dsp:txXfrm>
        <a:off x="418257" y="545414"/>
        <a:ext cx="767331" cy="383665"/>
      </dsp:txXfrm>
    </dsp:sp>
    <dsp:sp modelId="{34D8533B-F664-4EEC-8684-E0AA90658AF4}">
      <dsp:nvSpPr>
        <dsp:cNvPr id="0" name=""/>
        <dsp:cNvSpPr/>
      </dsp:nvSpPr>
      <dsp:spPr>
        <a:xfrm>
          <a:off x="1346728" y="545414"/>
          <a:ext cx="767331" cy="383665"/>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ja-JP" altLang="en-US" sz="1100" kern="1200"/>
            <a:t>群馬県弓道連盟</a:t>
          </a:r>
        </a:p>
      </dsp:txBody>
      <dsp:txXfrm>
        <a:off x="1346728" y="545414"/>
        <a:ext cx="767331" cy="383665"/>
      </dsp:txXfrm>
    </dsp:sp>
    <dsp:sp modelId="{ACB4E088-DD21-4031-8858-2C0D24487B71}">
      <dsp:nvSpPr>
        <dsp:cNvPr id="0" name=""/>
        <dsp:cNvSpPr/>
      </dsp:nvSpPr>
      <dsp:spPr>
        <a:xfrm>
          <a:off x="1538561" y="1090219"/>
          <a:ext cx="767331" cy="383665"/>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ja-JP" altLang="en-US" sz="1100" kern="1200"/>
            <a:t>各部会</a:t>
          </a:r>
        </a:p>
      </dsp:txBody>
      <dsp:txXfrm>
        <a:off x="1538561" y="1090219"/>
        <a:ext cx="767331" cy="383665"/>
      </dsp:txXfrm>
    </dsp:sp>
    <dsp:sp modelId="{8BBE28F2-D81F-4BE9-B9E7-0DFC60922136}">
      <dsp:nvSpPr>
        <dsp:cNvPr id="0" name=""/>
        <dsp:cNvSpPr/>
      </dsp:nvSpPr>
      <dsp:spPr>
        <a:xfrm>
          <a:off x="1538561" y="1635024"/>
          <a:ext cx="767331" cy="383665"/>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985" tIns="6985" rIns="6985" bIns="6985" numCol="1" spcCol="1270" anchor="ctr" anchorCtr="0">
          <a:noAutofit/>
        </a:bodyPr>
        <a:lstStyle/>
        <a:p>
          <a:pPr lvl="0" algn="ctr" defTabSz="488950">
            <a:lnSpc>
              <a:spcPct val="90000"/>
            </a:lnSpc>
            <a:spcBef>
              <a:spcPct val="0"/>
            </a:spcBef>
            <a:spcAft>
              <a:spcPct val="35000"/>
            </a:spcAft>
          </a:pPr>
          <a:r>
            <a:rPr kumimoji="1" lang="ja-JP" altLang="en-US" sz="1100" kern="1200"/>
            <a:t>高校部会</a:t>
          </a:r>
        </a:p>
      </dsp:txBody>
      <dsp:txXfrm>
        <a:off x="1538561" y="1635024"/>
        <a:ext cx="767331" cy="38366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CAA18F2-2A91-42E3-8591-AED21251053C}">
      <dsp:nvSpPr>
        <dsp:cNvPr id="0" name=""/>
        <dsp:cNvSpPr/>
      </dsp:nvSpPr>
      <dsp:spPr>
        <a:xfrm>
          <a:off x="1526981" y="981626"/>
          <a:ext cx="121677" cy="949080"/>
        </a:xfrm>
        <a:custGeom>
          <a:avLst/>
          <a:gdLst/>
          <a:ahLst/>
          <a:cxnLst/>
          <a:rect l="0" t="0" r="0" b="0"/>
          <a:pathLst>
            <a:path>
              <a:moveTo>
                <a:pt x="0" y="0"/>
              </a:moveTo>
              <a:lnTo>
                <a:pt x="0" y="949080"/>
              </a:lnTo>
              <a:lnTo>
                <a:pt x="121677" y="94908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D994370-2796-4718-85F4-5C6B6A8C8D18}">
      <dsp:nvSpPr>
        <dsp:cNvPr id="0" name=""/>
        <dsp:cNvSpPr/>
      </dsp:nvSpPr>
      <dsp:spPr>
        <a:xfrm>
          <a:off x="1526981" y="981626"/>
          <a:ext cx="121677" cy="373142"/>
        </a:xfrm>
        <a:custGeom>
          <a:avLst/>
          <a:gdLst/>
          <a:ahLst/>
          <a:cxnLst/>
          <a:rect l="0" t="0" r="0" b="0"/>
          <a:pathLst>
            <a:path>
              <a:moveTo>
                <a:pt x="0" y="0"/>
              </a:moveTo>
              <a:lnTo>
                <a:pt x="0" y="373142"/>
              </a:lnTo>
              <a:lnTo>
                <a:pt x="121677" y="37314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30C2E31-BB3F-4FD6-ACFF-CDFF37523A53}">
      <dsp:nvSpPr>
        <dsp:cNvPr id="0" name=""/>
        <dsp:cNvSpPr/>
      </dsp:nvSpPr>
      <dsp:spPr>
        <a:xfrm>
          <a:off x="1360689" y="405688"/>
          <a:ext cx="490763" cy="170347"/>
        </a:xfrm>
        <a:custGeom>
          <a:avLst/>
          <a:gdLst/>
          <a:ahLst/>
          <a:cxnLst/>
          <a:rect l="0" t="0" r="0" b="0"/>
          <a:pathLst>
            <a:path>
              <a:moveTo>
                <a:pt x="0" y="0"/>
              </a:moveTo>
              <a:lnTo>
                <a:pt x="0" y="85173"/>
              </a:lnTo>
              <a:lnTo>
                <a:pt x="490763" y="85173"/>
              </a:lnTo>
              <a:lnTo>
                <a:pt x="490763" y="17034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AE249FB-1DE2-49EB-B6FD-C37B190FEAFF}">
      <dsp:nvSpPr>
        <dsp:cNvPr id="0" name=""/>
        <dsp:cNvSpPr/>
      </dsp:nvSpPr>
      <dsp:spPr>
        <a:xfrm>
          <a:off x="869925" y="405688"/>
          <a:ext cx="490763" cy="170347"/>
        </a:xfrm>
        <a:custGeom>
          <a:avLst/>
          <a:gdLst/>
          <a:ahLst/>
          <a:cxnLst/>
          <a:rect l="0" t="0" r="0" b="0"/>
          <a:pathLst>
            <a:path>
              <a:moveTo>
                <a:pt x="490763" y="0"/>
              </a:moveTo>
              <a:lnTo>
                <a:pt x="490763" y="85173"/>
              </a:lnTo>
              <a:lnTo>
                <a:pt x="0" y="85173"/>
              </a:lnTo>
              <a:lnTo>
                <a:pt x="0" y="17034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36BE8FA-C6BD-40AF-8DE7-CC34DBEF4898}">
      <dsp:nvSpPr>
        <dsp:cNvPr id="0" name=""/>
        <dsp:cNvSpPr/>
      </dsp:nvSpPr>
      <dsp:spPr>
        <a:xfrm>
          <a:off x="955099" y="98"/>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全国高体連</a:t>
          </a:r>
        </a:p>
      </dsp:txBody>
      <dsp:txXfrm>
        <a:off x="955099" y="98"/>
        <a:ext cx="811180" cy="405590"/>
      </dsp:txXfrm>
    </dsp:sp>
    <dsp:sp modelId="{A939DBF8-7C29-42BA-91AB-C402B243A3F6}">
      <dsp:nvSpPr>
        <dsp:cNvPr id="0" name=""/>
        <dsp:cNvSpPr/>
      </dsp:nvSpPr>
      <dsp:spPr>
        <a:xfrm>
          <a:off x="464335" y="576036"/>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全国各専門部</a:t>
          </a:r>
        </a:p>
      </dsp:txBody>
      <dsp:txXfrm>
        <a:off x="464335" y="576036"/>
        <a:ext cx="811180" cy="405590"/>
      </dsp:txXfrm>
    </dsp:sp>
    <dsp:sp modelId="{34D8533B-F664-4EEC-8684-E0AA90658AF4}">
      <dsp:nvSpPr>
        <dsp:cNvPr id="0" name=""/>
        <dsp:cNvSpPr/>
      </dsp:nvSpPr>
      <dsp:spPr>
        <a:xfrm>
          <a:off x="1445863" y="576036"/>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全国高体連弓道専門部</a:t>
          </a:r>
        </a:p>
      </dsp:txBody>
      <dsp:txXfrm>
        <a:off x="1445863" y="576036"/>
        <a:ext cx="811180" cy="405590"/>
      </dsp:txXfrm>
    </dsp:sp>
    <dsp:sp modelId="{ACB4E088-DD21-4031-8858-2C0D24487B71}">
      <dsp:nvSpPr>
        <dsp:cNvPr id="0" name=""/>
        <dsp:cNvSpPr/>
      </dsp:nvSpPr>
      <dsp:spPr>
        <a:xfrm>
          <a:off x="1648658" y="1151973"/>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各道府県高体連弓道専門部</a:t>
          </a:r>
        </a:p>
      </dsp:txBody>
      <dsp:txXfrm>
        <a:off x="1648658" y="1151973"/>
        <a:ext cx="811180" cy="405590"/>
      </dsp:txXfrm>
    </dsp:sp>
    <dsp:sp modelId="{8BBE28F2-D81F-4BE9-B9E7-0DFC60922136}">
      <dsp:nvSpPr>
        <dsp:cNvPr id="0" name=""/>
        <dsp:cNvSpPr/>
      </dsp:nvSpPr>
      <dsp:spPr>
        <a:xfrm>
          <a:off x="1648658" y="1727911"/>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群馬県高体連弓道専門部</a:t>
          </a:r>
        </a:p>
      </dsp:txBody>
      <dsp:txXfrm>
        <a:off x="1648658" y="1727911"/>
        <a:ext cx="811180" cy="405590"/>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CAA18F2-2A91-42E3-8591-AED21251053C}">
      <dsp:nvSpPr>
        <dsp:cNvPr id="0" name=""/>
        <dsp:cNvSpPr/>
      </dsp:nvSpPr>
      <dsp:spPr>
        <a:xfrm>
          <a:off x="1526981" y="981626"/>
          <a:ext cx="121677" cy="949080"/>
        </a:xfrm>
        <a:custGeom>
          <a:avLst/>
          <a:gdLst/>
          <a:ahLst/>
          <a:cxnLst/>
          <a:rect l="0" t="0" r="0" b="0"/>
          <a:pathLst>
            <a:path>
              <a:moveTo>
                <a:pt x="0" y="0"/>
              </a:moveTo>
              <a:lnTo>
                <a:pt x="0" y="949080"/>
              </a:lnTo>
              <a:lnTo>
                <a:pt x="121677" y="949080"/>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D994370-2796-4718-85F4-5C6B6A8C8D18}">
      <dsp:nvSpPr>
        <dsp:cNvPr id="0" name=""/>
        <dsp:cNvSpPr/>
      </dsp:nvSpPr>
      <dsp:spPr>
        <a:xfrm>
          <a:off x="1526981" y="981626"/>
          <a:ext cx="121677" cy="373142"/>
        </a:xfrm>
        <a:custGeom>
          <a:avLst/>
          <a:gdLst/>
          <a:ahLst/>
          <a:cxnLst/>
          <a:rect l="0" t="0" r="0" b="0"/>
          <a:pathLst>
            <a:path>
              <a:moveTo>
                <a:pt x="0" y="0"/>
              </a:moveTo>
              <a:lnTo>
                <a:pt x="0" y="373142"/>
              </a:lnTo>
              <a:lnTo>
                <a:pt x="121677" y="37314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30C2E31-BB3F-4FD6-ACFF-CDFF37523A53}">
      <dsp:nvSpPr>
        <dsp:cNvPr id="0" name=""/>
        <dsp:cNvSpPr/>
      </dsp:nvSpPr>
      <dsp:spPr>
        <a:xfrm>
          <a:off x="1360689" y="405688"/>
          <a:ext cx="490763" cy="170347"/>
        </a:xfrm>
        <a:custGeom>
          <a:avLst/>
          <a:gdLst/>
          <a:ahLst/>
          <a:cxnLst/>
          <a:rect l="0" t="0" r="0" b="0"/>
          <a:pathLst>
            <a:path>
              <a:moveTo>
                <a:pt x="0" y="0"/>
              </a:moveTo>
              <a:lnTo>
                <a:pt x="0" y="85173"/>
              </a:lnTo>
              <a:lnTo>
                <a:pt x="490763" y="85173"/>
              </a:lnTo>
              <a:lnTo>
                <a:pt x="490763" y="17034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AE249FB-1DE2-49EB-B6FD-C37B190FEAFF}">
      <dsp:nvSpPr>
        <dsp:cNvPr id="0" name=""/>
        <dsp:cNvSpPr/>
      </dsp:nvSpPr>
      <dsp:spPr>
        <a:xfrm>
          <a:off x="869925" y="405688"/>
          <a:ext cx="490763" cy="170347"/>
        </a:xfrm>
        <a:custGeom>
          <a:avLst/>
          <a:gdLst/>
          <a:ahLst/>
          <a:cxnLst/>
          <a:rect l="0" t="0" r="0" b="0"/>
          <a:pathLst>
            <a:path>
              <a:moveTo>
                <a:pt x="490763" y="0"/>
              </a:moveTo>
              <a:lnTo>
                <a:pt x="490763" y="85173"/>
              </a:lnTo>
              <a:lnTo>
                <a:pt x="0" y="85173"/>
              </a:lnTo>
              <a:lnTo>
                <a:pt x="0" y="17034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36BE8FA-C6BD-40AF-8DE7-CC34DBEF4898}">
      <dsp:nvSpPr>
        <dsp:cNvPr id="0" name=""/>
        <dsp:cNvSpPr/>
      </dsp:nvSpPr>
      <dsp:spPr>
        <a:xfrm>
          <a:off x="955099" y="98"/>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全国高体連</a:t>
          </a:r>
        </a:p>
      </dsp:txBody>
      <dsp:txXfrm>
        <a:off x="955099" y="98"/>
        <a:ext cx="811180" cy="405590"/>
      </dsp:txXfrm>
    </dsp:sp>
    <dsp:sp modelId="{A939DBF8-7C29-42BA-91AB-C402B243A3F6}">
      <dsp:nvSpPr>
        <dsp:cNvPr id="0" name=""/>
        <dsp:cNvSpPr/>
      </dsp:nvSpPr>
      <dsp:spPr>
        <a:xfrm>
          <a:off x="464335" y="576036"/>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各都道府県高体連</a:t>
          </a:r>
        </a:p>
      </dsp:txBody>
      <dsp:txXfrm>
        <a:off x="464335" y="576036"/>
        <a:ext cx="811180" cy="405590"/>
      </dsp:txXfrm>
    </dsp:sp>
    <dsp:sp modelId="{34D8533B-F664-4EEC-8684-E0AA90658AF4}">
      <dsp:nvSpPr>
        <dsp:cNvPr id="0" name=""/>
        <dsp:cNvSpPr/>
      </dsp:nvSpPr>
      <dsp:spPr>
        <a:xfrm>
          <a:off x="1445863" y="576036"/>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群馬県高体連</a:t>
          </a:r>
        </a:p>
      </dsp:txBody>
      <dsp:txXfrm>
        <a:off x="1445863" y="576036"/>
        <a:ext cx="811180" cy="405590"/>
      </dsp:txXfrm>
    </dsp:sp>
    <dsp:sp modelId="{ACB4E088-DD21-4031-8858-2C0D24487B71}">
      <dsp:nvSpPr>
        <dsp:cNvPr id="0" name=""/>
        <dsp:cNvSpPr/>
      </dsp:nvSpPr>
      <dsp:spPr>
        <a:xfrm>
          <a:off x="1648658" y="1151973"/>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群馬県各高体連専門部</a:t>
          </a:r>
        </a:p>
      </dsp:txBody>
      <dsp:txXfrm>
        <a:off x="1648658" y="1151973"/>
        <a:ext cx="811180" cy="405590"/>
      </dsp:txXfrm>
    </dsp:sp>
    <dsp:sp modelId="{8BBE28F2-D81F-4BE9-B9E7-0DFC60922136}">
      <dsp:nvSpPr>
        <dsp:cNvPr id="0" name=""/>
        <dsp:cNvSpPr/>
      </dsp:nvSpPr>
      <dsp:spPr>
        <a:xfrm>
          <a:off x="1648658" y="1727911"/>
          <a:ext cx="811180" cy="405590"/>
        </a:xfrm>
        <a:prstGeom prst="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kumimoji="1" lang="ja-JP" altLang="en-US" sz="1000" kern="1200"/>
            <a:t>群馬県高体連弓道専門部</a:t>
          </a:r>
        </a:p>
      </dsp:txBody>
      <dsp:txXfrm>
        <a:off x="1648658" y="1727911"/>
        <a:ext cx="811180" cy="40559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2</xdr:col>
      <xdr:colOff>311756</xdr:colOff>
      <xdr:row>84</xdr:row>
      <xdr:rowOff>88878</xdr:rowOff>
    </xdr:from>
    <xdr:to>
      <xdr:col>2</xdr:col>
      <xdr:colOff>2683084</xdr:colOff>
      <xdr:row>87</xdr:row>
      <xdr:rowOff>108724</xdr:rowOff>
    </xdr:to>
    <xdr:sp macro="" textlink="">
      <xdr:nvSpPr>
        <xdr:cNvPr id="2" name="フローチャート : 準備 1">
          <a:extLst>
            <a:ext uri="{FF2B5EF4-FFF2-40B4-BE49-F238E27FC236}">
              <a16:creationId xmlns:a16="http://schemas.microsoft.com/office/drawing/2014/main" xmlns="" id="{00000000-0008-0000-0000-000003000000}"/>
            </a:ext>
          </a:extLst>
        </xdr:cNvPr>
        <xdr:cNvSpPr/>
      </xdr:nvSpPr>
      <xdr:spPr>
        <a:xfrm>
          <a:off x="607031" y="22167828"/>
          <a:ext cx="2371328" cy="591346"/>
        </a:xfrm>
        <a:prstGeom prst="flowChartPreparation">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２０１９年度</a:t>
          </a:r>
        </a:p>
        <a:p>
          <a:pPr algn="ctr">
            <a:lnSpc>
              <a:spcPts val="1200"/>
            </a:lnSpc>
          </a:pPr>
          <a:r>
            <a:rPr kumimoji="1" lang="ja-JP" altLang="en-US" sz="1000"/>
            <a:t>ファイルの準備</a:t>
          </a:r>
        </a:p>
      </xdr:txBody>
    </xdr:sp>
    <xdr:clientData/>
  </xdr:twoCellAnchor>
  <xdr:twoCellAnchor>
    <xdr:from>
      <xdr:col>2</xdr:col>
      <xdr:colOff>310916</xdr:colOff>
      <xdr:row>89</xdr:row>
      <xdr:rowOff>4701</xdr:rowOff>
    </xdr:from>
    <xdr:to>
      <xdr:col>2</xdr:col>
      <xdr:colOff>2687052</xdr:colOff>
      <xdr:row>92</xdr:row>
      <xdr:rowOff>4701</xdr:rowOff>
    </xdr:to>
    <xdr:sp macro="" textlink="">
      <xdr:nvSpPr>
        <xdr:cNvPr id="3" name="フローチャート: 処理 2">
          <a:extLst>
            <a:ext uri="{FF2B5EF4-FFF2-40B4-BE49-F238E27FC236}">
              <a16:creationId xmlns:a16="http://schemas.microsoft.com/office/drawing/2014/main" xmlns="" id="{00000000-0008-0000-0000-000004000000}"/>
            </a:ext>
          </a:extLst>
        </xdr:cNvPr>
        <xdr:cNvSpPr/>
      </xdr:nvSpPr>
      <xdr:spPr>
        <a:xfrm>
          <a:off x="606191" y="23036151"/>
          <a:ext cx="2376136" cy="571500"/>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新年度スタート前に仮登録</a:t>
          </a:r>
        </a:p>
        <a:p>
          <a:pPr algn="ctr">
            <a:lnSpc>
              <a:spcPts val="1200"/>
            </a:lnSpc>
          </a:pPr>
          <a:r>
            <a:rPr kumimoji="1" lang="ja-JP" altLang="en-US" sz="1000"/>
            <a:t>３月２２日１６時締切</a:t>
          </a:r>
        </a:p>
      </xdr:txBody>
    </xdr:sp>
    <xdr:clientData/>
  </xdr:twoCellAnchor>
  <xdr:twoCellAnchor>
    <xdr:from>
      <xdr:col>2</xdr:col>
      <xdr:colOff>1497420</xdr:colOff>
      <xdr:row>87</xdr:row>
      <xdr:rowOff>108724</xdr:rowOff>
    </xdr:from>
    <xdr:to>
      <xdr:col>2</xdr:col>
      <xdr:colOff>1498984</xdr:colOff>
      <xdr:row>89</xdr:row>
      <xdr:rowOff>4701</xdr:rowOff>
    </xdr:to>
    <xdr:cxnSp macro="">
      <xdr:nvCxnSpPr>
        <xdr:cNvPr id="4" name="直線コネクタ 3">
          <a:extLst>
            <a:ext uri="{FF2B5EF4-FFF2-40B4-BE49-F238E27FC236}">
              <a16:creationId xmlns:a16="http://schemas.microsoft.com/office/drawing/2014/main" xmlns="" id="{00000000-0008-0000-0000-000005000000}"/>
            </a:ext>
          </a:extLst>
        </xdr:cNvPr>
        <xdr:cNvCxnSpPr>
          <a:stCxn id="2" idx="2"/>
          <a:endCxn id="3" idx="0"/>
        </xdr:cNvCxnSpPr>
      </xdr:nvCxnSpPr>
      <xdr:spPr>
        <a:xfrm>
          <a:off x="1792695" y="22759174"/>
          <a:ext cx="1564" cy="276977"/>
        </a:xfrm>
        <a:prstGeom prst="line">
          <a:avLst/>
        </a:prstGeom>
        <a:ln>
          <a:tailEnd type="triangle"/>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310919</xdr:colOff>
      <xdr:row>94</xdr:row>
      <xdr:rowOff>4596</xdr:rowOff>
    </xdr:from>
    <xdr:to>
      <xdr:col>2</xdr:col>
      <xdr:colOff>2687052</xdr:colOff>
      <xdr:row>97</xdr:row>
      <xdr:rowOff>4595</xdr:rowOff>
    </xdr:to>
    <xdr:sp macro="" textlink="">
      <xdr:nvSpPr>
        <xdr:cNvPr id="5" name="フローチャート: 処理 4">
          <a:extLst>
            <a:ext uri="{FF2B5EF4-FFF2-40B4-BE49-F238E27FC236}">
              <a16:creationId xmlns:a16="http://schemas.microsoft.com/office/drawing/2014/main" xmlns="" id="{00000000-0008-0000-0000-000006000000}"/>
            </a:ext>
          </a:extLst>
        </xdr:cNvPr>
        <xdr:cNvSpPr/>
      </xdr:nvSpPr>
      <xdr:spPr>
        <a:xfrm>
          <a:off x="606194" y="23988546"/>
          <a:ext cx="2376133" cy="57149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春季大会申込</a:t>
          </a:r>
        </a:p>
        <a:p>
          <a:pPr algn="ctr">
            <a:lnSpc>
              <a:spcPts val="1200"/>
            </a:lnSpc>
          </a:pPr>
          <a:r>
            <a:rPr kumimoji="1" lang="ja-JP" altLang="en-US" sz="1000"/>
            <a:t>４月１８日１６時締切</a:t>
          </a:r>
        </a:p>
      </xdr:txBody>
    </xdr:sp>
    <xdr:clientData/>
  </xdr:twoCellAnchor>
  <xdr:twoCellAnchor>
    <xdr:from>
      <xdr:col>2</xdr:col>
      <xdr:colOff>310816</xdr:colOff>
      <xdr:row>99</xdr:row>
      <xdr:rowOff>9607</xdr:rowOff>
    </xdr:from>
    <xdr:to>
      <xdr:col>2</xdr:col>
      <xdr:colOff>2687052</xdr:colOff>
      <xdr:row>102</xdr:row>
      <xdr:rowOff>9607</xdr:rowOff>
    </xdr:to>
    <xdr:sp macro="" textlink="">
      <xdr:nvSpPr>
        <xdr:cNvPr id="6" name="フローチャート: 処理 5">
          <a:extLst>
            <a:ext uri="{FF2B5EF4-FFF2-40B4-BE49-F238E27FC236}">
              <a16:creationId xmlns:a16="http://schemas.microsoft.com/office/drawing/2014/main" xmlns="" id="{00000000-0008-0000-0000-000007000000}"/>
            </a:ext>
          </a:extLst>
        </xdr:cNvPr>
        <xdr:cNvSpPr/>
      </xdr:nvSpPr>
      <xdr:spPr>
        <a:xfrm>
          <a:off x="606091" y="24946057"/>
          <a:ext cx="2376236" cy="571500"/>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県総体申込</a:t>
          </a:r>
        </a:p>
        <a:p>
          <a:pPr algn="ctr">
            <a:lnSpc>
              <a:spcPts val="1200"/>
            </a:lnSpc>
          </a:pPr>
          <a:r>
            <a:rPr kumimoji="1" lang="ja-JP" altLang="en-US" sz="1000"/>
            <a:t>４月１８日１６時締切</a:t>
          </a:r>
        </a:p>
      </xdr:txBody>
    </xdr:sp>
    <xdr:clientData/>
  </xdr:twoCellAnchor>
  <xdr:twoCellAnchor>
    <xdr:from>
      <xdr:col>2</xdr:col>
      <xdr:colOff>1498984</xdr:colOff>
      <xdr:row>92</xdr:row>
      <xdr:rowOff>4701</xdr:rowOff>
    </xdr:from>
    <xdr:to>
      <xdr:col>2</xdr:col>
      <xdr:colOff>1498986</xdr:colOff>
      <xdr:row>94</xdr:row>
      <xdr:rowOff>4596</xdr:rowOff>
    </xdr:to>
    <xdr:cxnSp macro="">
      <xdr:nvCxnSpPr>
        <xdr:cNvPr id="7" name="直線コネクタ 6">
          <a:extLst>
            <a:ext uri="{FF2B5EF4-FFF2-40B4-BE49-F238E27FC236}">
              <a16:creationId xmlns:a16="http://schemas.microsoft.com/office/drawing/2014/main" xmlns="" id="{00000000-0008-0000-0000-000008000000}"/>
            </a:ext>
          </a:extLst>
        </xdr:cNvPr>
        <xdr:cNvCxnSpPr>
          <a:stCxn id="3" idx="2"/>
          <a:endCxn id="5" idx="0"/>
        </xdr:cNvCxnSpPr>
      </xdr:nvCxnSpPr>
      <xdr:spPr>
        <a:xfrm>
          <a:off x="1794259" y="23607651"/>
          <a:ext cx="2" cy="380895"/>
        </a:xfrm>
        <a:prstGeom prst="line">
          <a:avLst/>
        </a:prstGeom>
        <a:ln>
          <a:tailEnd type="triangle"/>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1498934</xdr:colOff>
      <xdr:row>97</xdr:row>
      <xdr:rowOff>4595</xdr:rowOff>
    </xdr:from>
    <xdr:to>
      <xdr:col>2</xdr:col>
      <xdr:colOff>1498986</xdr:colOff>
      <xdr:row>99</xdr:row>
      <xdr:rowOff>9607</xdr:rowOff>
    </xdr:to>
    <xdr:cxnSp macro="">
      <xdr:nvCxnSpPr>
        <xdr:cNvPr id="8" name="直線コネクタ 7">
          <a:extLst>
            <a:ext uri="{FF2B5EF4-FFF2-40B4-BE49-F238E27FC236}">
              <a16:creationId xmlns:a16="http://schemas.microsoft.com/office/drawing/2014/main" xmlns="" id="{00000000-0008-0000-0000-000009000000}"/>
            </a:ext>
          </a:extLst>
        </xdr:cNvPr>
        <xdr:cNvCxnSpPr>
          <a:stCxn id="5" idx="2"/>
          <a:endCxn id="6" idx="0"/>
        </xdr:cNvCxnSpPr>
      </xdr:nvCxnSpPr>
      <xdr:spPr>
        <a:xfrm flipH="1">
          <a:off x="1794209" y="24560045"/>
          <a:ext cx="52" cy="386012"/>
        </a:xfrm>
        <a:prstGeom prst="line">
          <a:avLst/>
        </a:prstGeom>
        <a:ln>
          <a:tailEnd type="triangle"/>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3621276</xdr:colOff>
      <xdr:row>93</xdr:row>
      <xdr:rowOff>42333</xdr:rowOff>
    </xdr:from>
    <xdr:to>
      <xdr:col>2</xdr:col>
      <xdr:colOff>6604000</xdr:colOff>
      <xdr:row>97</xdr:row>
      <xdr:rowOff>158750</xdr:rowOff>
    </xdr:to>
    <xdr:sp macro="" textlink="">
      <xdr:nvSpPr>
        <xdr:cNvPr id="9" name="フローチャート : 代替処理 19">
          <a:extLst>
            <a:ext uri="{FF2B5EF4-FFF2-40B4-BE49-F238E27FC236}">
              <a16:creationId xmlns:a16="http://schemas.microsoft.com/office/drawing/2014/main" xmlns="" id="{00000000-0008-0000-0000-00000A000000}"/>
            </a:ext>
          </a:extLst>
        </xdr:cNvPr>
        <xdr:cNvSpPr/>
      </xdr:nvSpPr>
      <xdr:spPr>
        <a:xfrm>
          <a:off x="3916551" y="23835783"/>
          <a:ext cx="2982724" cy="878417"/>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ja-JP" altLang="en-US" sz="1000"/>
            <a:t>全国高体連弓道専門部登録１回目</a:t>
          </a:r>
        </a:p>
        <a:p>
          <a:pPr algn="ctr"/>
          <a:r>
            <a:rPr kumimoji="1" lang="en-US" altLang="ja-JP" sz="1000"/>
            <a:t>※</a:t>
          </a:r>
          <a:r>
            <a:rPr kumimoji="1" lang="ja-JP" altLang="en-US" sz="1000"/>
            <a:t>インハイ出場条件</a:t>
          </a:r>
          <a:r>
            <a:rPr kumimoji="1" lang="en-US" altLang="ja-JP" sz="1000"/>
            <a:t>※</a:t>
          </a:r>
          <a:endParaRPr kumimoji="1" lang="ja-JP" altLang="en-US" sz="1000"/>
        </a:p>
      </xdr:txBody>
    </xdr:sp>
    <xdr:clientData/>
  </xdr:twoCellAnchor>
  <xdr:twoCellAnchor>
    <xdr:from>
      <xdr:col>2</xdr:col>
      <xdr:colOff>2687052</xdr:colOff>
      <xdr:row>90</xdr:row>
      <xdr:rowOff>99951</xdr:rowOff>
    </xdr:from>
    <xdr:to>
      <xdr:col>2</xdr:col>
      <xdr:colOff>3621276</xdr:colOff>
      <xdr:row>95</xdr:row>
      <xdr:rowOff>100542</xdr:rowOff>
    </xdr:to>
    <xdr:cxnSp macro="">
      <xdr:nvCxnSpPr>
        <xdr:cNvPr id="10" name="直線コネクタ 9">
          <a:extLst>
            <a:ext uri="{FF2B5EF4-FFF2-40B4-BE49-F238E27FC236}">
              <a16:creationId xmlns:a16="http://schemas.microsoft.com/office/drawing/2014/main" xmlns="" id="{00000000-0008-0000-0000-00000B000000}"/>
            </a:ext>
          </a:extLst>
        </xdr:cNvPr>
        <xdr:cNvCxnSpPr>
          <a:stCxn id="9" idx="1"/>
          <a:endCxn id="3" idx="3"/>
        </xdr:cNvCxnSpPr>
      </xdr:nvCxnSpPr>
      <xdr:spPr>
        <a:xfrm flipH="1" flipV="1">
          <a:off x="2982327" y="17225901"/>
          <a:ext cx="934224" cy="953091"/>
        </a:xfrm>
        <a:prstGeom prst="line">
          <a:avLst/>
        </a:prstGeom>
        <a:ln w="38100" cmpd="sng">
          <a:prstDash val="sysDot"/>
          <a:miter lim="800000"/>
          <a:headEnd type="oval"/>
          <a:tailEnd type="oval"/>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310818</xdr:colOff>
      <xdr:row>104</xdr:row>
      <xdr:rowOff>9610</xdr:rowOff>
    </xdr:from>
    <xdr:to>
      <xdr:col>2</xdr:col>
      <xdr:colOff>2687052</xdr:colOff>
      <xdr:row>107</xdr:row>
      <xdr:rowOff>9609</xdr:rowOff>
    </xdr:to>
    <xdr:sp macro="" textlink="">
      <xdr:nvSpPr>
        <xdr:cNvPr id="11" name="フローチャート: 処理 10">
          <a:extLst>
            <a:ext uri="{FF2B5EF4-FFF2-40B4-BE49-F238E27FC236}">
              <a16:creationId xmlns:a16="http://schemas.microsoft.com/office/drawing/2014/main" xmlns="" id="{00000000-0008-0000-0000-00000C000000}"/>
            </a:ext>
          </a:extLst>
        </xdr:cNvPr>
        <xdr:cNvSpPr/>
      </xdr:nvSpPr>
      <xdr:spPr>
        <a:xfrm>
          <a:off x="606093" y="25898560"/>
          <a:ext cx="2376234" cy="57149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インハイ予選申込</a:t>
          </a:r>
        </a:p>
        <a:p>
          <a:pPr algn="ctr">
            <a:lnSpc>
              <a:spcPts val="1200"/>
            </a:lnSpc>
          </a:pPr>
          <a:r>
            <a:rPr kumimoji="1" lang="ja-JP" altLang="en-US" sz="1000"/>
            <a:t>６月６日１６時締切</a:t>
          </a:r>
        </a:p>
      </xdr:txBody>
    </xdr:sp>
    <xdr:clientData/>
  </xdr:twoCellAnchor>
  <xdr:twoCellAnchor>
    <xdr:from>
      <xdr:col>2</xdr:col>
      <xdr:colOff>1498934</xdr:colOff>
      <xdr:row>102</xdr:row>
      <xdr:rowOff>9607</xdr:rowOff>
    </xdr:from>
    <xdr:to>
      <xdr:col>2</xdr:col>
      <xdr:colOff>1498935</xdr:colOff>
      <xdr:row>104</xdr:row>
      <xdr:rowOff>9610</xdr:rowOff>
    </xdr:to>
    <xdr:cxnSp macro="">
      <xdr:nvCxnSpPr>
        <xdr:cNvPr id="12" name="直線コネクタ 11">
          <a:extLst>
            <a:ext uri="{FF2B5EF4-FFF2-40B4-BE49-F238E27FC236}">
              <a16:creationId xmlns:a16="http://schemas.microsoft.com/office/drawing/2014/main" xmlns="" id="{00000000-0008-0000-0000-00000D000000}"/>
            </a:ext>
          </a:extLst>
        </xdr:cNvPr>
        <xdr:cNvCxnSpPr>
          <a:stCxn id="6" idx="2"/>
          <a:endCxn id="11" idx="0"/>
        </xdr:cNvCxnSpPr>
      </xdr:nvCxnSpPr>
      <xdr:spPr>
        <a:xfrm>
          <a:off x="1794209" y="25517557"/>
          <a:ext cx="1" cy="381003"/>
        </a:xfrm>
        <a:prstGeom prst="line">
          <a:avLst/>
        </a:prstGeom>
        <a:ln>
          <a:tailEnd type="triangle"/>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3621692</xdr:colOff>
      <xdr:row>98</xdr:row>
      <xdr:rowOff>31750</xdr:rowOff>
    </xdr:from>
    <xdr:to>
      <xdr:col>2</xdr:col>
      <xdr:colOff>6593417</xdr:colOff>
      <xdr:row>102</xdr:row>
      <xdr:rowOff>169333</xdr:rowOff>
    </xdr:to>
    <xdr:sp macro="" textlink="">
      <xdr:nvSpPr>
        <xdr:cNvPr id="13" name="フローチャート : 代替処理 30">
          <a:extLst>
            <a:ext uri="{FF2B5EF4-FFF2-40B4-BE49-F238E27FC236}">
              <a16:creationId xmlns:a16="http://schemas.microsoft.com/office/drawing/2014/main" xmlns="" id="{00000000-0008-0000-0000-00000E000000}"/>
            </a:ext>
          </a:extLst>
        </xdr:cNvPr>
        <xdr:cNvSpPr/>
      </xdr:nvSpPr>
      <xdr:spPr>
        <a:xfrm>
          <a:off x="3916967" y="24777700"/>
          <a:ext cx="2971725" cy="899583"/>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200"/>
            </a:lnSpc>
          </a:pPr>
          <a:r>
            <a:rPr kumimoji="1" lang="ja-JP" altLang="en-US" sz="1000"/>
            <a:t>群馬県高体連登録</a:t>
          </a:r>
        </a:p>
        <a:p>
          <a:pPr algn="ctr">
            <a:lnSpc>
              <a:spcPts val="1200"/>
            </a:lnSpc>
          </a:pPr>
          <a:r>
            <a:rPr kumimoji="1" lang="ja-JP" altLang="en-US" sz="1000"/>
            <a:t>◎全国高体連弓道専門部登録料集金◎</a:t>
          </a:r>
        </a:p>
      </xdr:txBody>
    </xdr:sp>
    <xdr:clientData/>
  </xdr:twoCellAnchor>
  <xdr:twoCellAnchor>
    <xdr:from>
      <xdr:col>2</xdr:col>
      <xdr:colOff>2687052</xdr:colOff>
      <xdr:row>100</xdr:row>
      <xdr:rowOff>100542</xdr:rowOff>
    </xdr:from>
    <xdr:to>
      <xdr:col>2</xdr:col>
      <xdr:colOff>3621692</xdr:colOff>
      <xdr:row>100</xdr:row>
      <xdr:rowOff>104857</xdr:rowOff>
    </xdr:to>
    <xdr:cxnSp macro="">
      <xdr:nvCxnSpPr>
        <xdr:cNvPr id="14" name="直線コネクタ 13">
          <a:extLst>
            <a:ext uri="{FF2B5EF4-FFF2-40B4-BE49-F238E27FC236}">
              <a16:creationId xmlns:a16="http://schemas.microsoft.com/office/drawing/2014/main" xmlns="" id="{00000000-0008-0000-0000-00000F000000}"/>
            </a:ext>
          </a:extLst>
        </xdr:cNvPr>
        <xdr:cNvCxnSpPr>
          <a:stCxn id="13" idx="1"/>
          <a:endCxn id="6" idx="3"/>
        </xdr:cNvCxnSpPr>
      </xdr:nvCxnSpPr>
      <xdr:spPr>
        <a:xfrm flipH="1">
          <a:off x="2982327" y="25227492"/>
          <a:ext cx="934640" cy="4315"/>
        </a:xfrm>
        <a:prstGeom prst="line">
          <a:avLst/>
        </a:prstGeom>
        <a:ln w="38100" cmpd="sng">
          <a:prstDash val="sysDot"/>
          <a:headEnd type="oval"/>
          <a:tailEnd type="oval"/>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3621901</xdr:colOff>
      <xdr:row>103</xdr:row>
      <xdr:rowOff>31750</xdr:rowOff>
    </xdr:from>
    <xdr:to>
      <xdr:col>2</xdr:col>
      <xdr:colOff>6593417</xdr:colOff>
      <xdr:row>107</xdr:row>
      <xdr:rowOff>169333</xdr:rowOff>
    </xdr:to>
    <xdr:sp macro="" textlink="">
      <xdr:nvSpPr>
        <xdr:cNvPr id="15" name="フローチャート : 代替処理 35">
          <a:extLst>
            <a:ext uri="{FF2B5EF4-FFF2-40B4-BE49-F238E27FC236}">
              <a16:creationId xmlns:a16="http://schemas.microsoft.com/office/drawing/2014/main" xmlns="" id="{00000000-0008-0000-0000-000010000000}"/>
            </a:ext>
          </a:extLst>
        </xdr:cNvPr>
        <xdr:cNvSpPr/>
      </xdr:nvSpPr>
      <xdr:spPr>
        <a:xfrm>
          <a:off x="3917176" y="25730200"/>
          <a:ext cx="2971516" cy="899583"/>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全国高体連弓道専門部登録２回目</a:t>
          </a:r>
        </a:p>
        <a:p>
          <a:pPr algn="ctr">
            <a:lnSpc>
              <a:spcPts val="1200"/>
            </a:lnSpc>
          </a:pPr>
          <a:r>
            <a:rPr kumimoji="1" lang="en-US" altLang="ja-JP" sz="1000"/>
            <a:t>※</a:t>
          </a:r>
          <a:r>
            <a:rPr kumimoji="1" lang="ja-JP" altLang="en-US" sz="1000"/>
            <a:t>日弓連ＩＤ申請</a:t>
          </a:r>
          <a:r>
            <a:rPr kumimoji="1" lang="en-US" altLang="ja-JP" sz="1000"/>
            <a:t>※</a:t>
          </a:r>
          <a:endParaRPr kumimoji="1" lang="ja-JP" altLang="en-US" sz="1000"/>
        </a:p>
        <a:p>
          <a:pPr algn="ctr">
            <a:lnSpc>
              <a:spcPts val="1200"/>
            </a:lnSpc>
          </a:pPr>
          <a:r>
            <a:rPr kumimoji="1" lang="ja-JP" altLang="en-US" sz="1000"/>
            <a:t>◎新入会県連会員会費集金◎</a:t>
          </a:r>
        </a:p>
      </xdr:txBody>
    </xdr:sp>
    <xdr:clientData/>
  </xdr:twoCellAnchor>
  <xdr:twoCellAnchor>
    <xdr:from>
      <xdr:col>2</xdr:col>
      <xdr:colOff>2687052</xdr:colOff>
      <xdr:row>105</xdr:row>
      <xdr:rowOff>100542</xdr:rowOff>
    </xdr:from>
    <xdr:to>
      <xdr:col>2</xdr:col>
      <xdr:colOff>3621901</xdr:colOff>
      <xdr:row>105</xdr:row>
      <xdr:rowOff>104860</xdr:rowOff>
    </xdr:to>
    <xdr:cxnSp macro="">
      <xdr:nvCxnSpPr>
        <xdr:cNvPr id="16" name="直線コネクタ 15">
          <a:extLst>
            <a:ext uri="{FF2B5EF4-FFF2-40B4-BE49-F238E27FC236}">
              <a16:creationId xmlns:a16="http://schemas.microsoft.com/office/drawing/2014/main" xmlns="" id="{00000000-0008-0000-0000-000011000000}"/>
            </a:ext>
          </a:extLst>
        </xdr:cNvPr>
        <xdr:cNvCxnSpPr>
          <a:stCxn id="15" idx="1"/>
          <a:endCxn id="11" idx="3"/>
        </xdr:cNvCxnSpPr>
      </xdr:nvCxnSpPr>
      <xdr:spPr>
        <a:xfrm flipH="1">
          <a:off x="2982327" y="26179992"/>
          <a:ext cx="934849" cy="4318"/>
        </a:xfrm>
        <a:prstGeom prst="line">
          <a:avLst/>
        </a:prstGeom>
        <a:ln w="38100" cmpd="sng">
          <a:prstDash val="sysDot"/>
          <a:headEnd type="oval"/>
          <a:tailEnd type="oval"/>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310819</xdr:colOff>
      <xdr:row>109</xdr:row>
      <xdr:rowOff>9379</xdr:rowOff>
    </xdr:from>
    <xdr:to>
      <xdr:col>2</xdr:col>
      <xdr:colOff>2687052</xdr:colOff>
      <xdr:row>112</xdr:row>
      <xdr:rowOff>9379</xdr:rowOff>
    </xdr:to>
    <xdr:sp macro="" textlink="">
      <xdr:nvSpPr>
        <xdr:cNvPr id="17" name="フローチャート: 処理 16">
          <a:extLst>
            <a:ext uri="{FF2B5EF4-FFF2-40B4-BE49-F238E27FC236}">
              <a16:creationId xmlns:a16="http://schemas.microsoft.com/office/drawing/2014/main" xmlns="" id="{00000000-0008-0000-0000-000012000000}"/>
            </a:ext>
          </a:extLst>
        </xdr:cNvPr>
        <xdr:cNvSpPr/>
      </xdr:nvSpPr>
      <xdr:spPr>
        <a:xfrm>
          <a:off x="606094" y="26850829"/>
          <a:ext cx="2376233" cy="571500"/>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新人大会</a:t>
          </a:r>
        </a:p>
        <a:p>
          <a:pPr algn="ctr">
            <a:lnSpc>
              <a:spcPts val="1200"/>
            </a:lnSpc>
          </a:pPr>
          <a:r>
            <a:rPr kumimoji="1" lang="ja-JP" altLang="en-US" sz="1000"/>
            <a:t>１０月１５日１６時締切</a:t>
          </a:r>
        </a:p>
      </xdr:txBody>
    </xdr:sp>
    <xdr:clientData/>
  </xdr:twoCellAnchor>
  <xdr:twoCellAnchor>
    <xdr:from>
      <xdr:col>2</xdr:col>
      <xdr:colOff>1498935</xdr:colOff>
      <xdr:row>107</xdr:row>
      <xdr:rowOff>9609</xdr:rowOff>
    </xdr:from>
    <xdr:to>
      <xdr:col>2</xdr:col>
      <xdr:colOff>1498936</xdr:colOff>
      <xdr:row>109</xdr:row>
      <xdr:rowOff>9379</xdr:rowOff>
    </xdr:to>
    <xdr:cxnSp macro="">
      <xdr:nvCxnSpPr>
        <xdr:cNvPr id="18" name="直線コネクタ 17">
          <a:extLst>
            <a:ext uri="{FF2B5EF4-FFF2-40B4-BE49-F238E27FC236}">
              <a16:creationId xmlns:a16="http://schemas.microsoft.com/office/drawing/2014/main" xmlns="" id="{00000000-0008-0000-0000-000013000000}"/>
            </a:ext>
          </a:extLst>
        </xdr:cNvPr>
        <xdr:cNvCxnSpPr>
          <a:stCxn id="11" idx="2"/>
          <a:endCxn id="17" idx="0"/>
        </xdr:cNvCxnSpPr>
      </xdr:nvCxnSpPr>
      <xdr:spPr>
        <a:xfrm>
          <a:off x="1794210" y="26470059"/>
          <a:ext cx="1" cy="380770"/>
        </a:xfrm>
        <a:prstGeom prst="line">
          <a:avLst/>
        </a:prstGeom>
        <a:ln>
          <a:tailEnd type="triangle"/>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3621900</xdr:colOff>
      <xdr:row>108</xdr:row>
      <xdr:rowOff>52917</xdr:rowOff>
    </xdr:from>
    <xdr:to>
      <xdr:col>2</xdr:col>
      <xdr:colOff>6561667</xdr:colOff>
      <xdr:row>112</xdr:row>
      <xdr:rowOff>169333</xdr:rowOff>
    </xdr:to>
    <xdr:sp macro="" textlink="">
      <xdr:nvSpPr>
        <xdr:cNvPr id="19" name="フローチャート : 代替処理 89">
          <a:extLst>
            <a:ext uri="{FF2B5EF4-FFF2-40B4-BE49-F238E27FC236}">
              <a16:creationId xmlns:a16="http://schemas.microsoft.com/office/drawing/2014/main" xmlns="" id="{00000000-0008-0000-0000-000014000000}"/>
            </a:ext>
          </a:extLst>
        </xdr:cNvPr>
        <xdr:cNvSpPr/>
      </xdr:nvSpPr>
      <xdr:spPr>
        <a:xfrm>
          <a:off x="3917175" y="26703867"/>
          <a:ext cx="2939767" cy="878416"/>
        </a:xfrm>
        <a:prstGeom prst="flowChartAlternate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全国高体連弓道専門部登録３回目</a:t>
          </a:r>
        </a:p>
        <a:p>
          <a:pPr algn="ctr">
            <a:lnSpc>
              <a:spcPts val="1200"/>
            </a:lnSpc>
          </a:pPr>
          <a:r>
            <a:rPr kumimoji="1" lang="en-US" altLang="ja-JP" sz="1000"/>
            <a:t>※</a:t>
          </a:r>
          <a:r>
            <a:rPr kumimoji="1" lang="ja-JP" altLang="en-US" sz="1000"/>
            <a:t>全国選抜出場条件</a:t>
          </a:r>
          <a:r>
            <a:rPr kumimoji="1" lang="en-US" altLang="ja-JP" sz="1000"/>
            <a:t>※</a:t>
          </a:r>
          <a:endParaRPr kumimoji="1" lang="ja-JP" altLang="en-US" sz="1000"/>
        </a:p>
      </xdr:txBody>
    </xdr:sp>
    <xdr:clientData/>
  </xdr:twoCellAnchor>
  <xdr:twoCellAnchor>
    <xdr:from>
      <xdr:col>2</xdr:col>
      <xdr:colOff>2687052</xdr:colOff>
      <xdr:row>110</xdr:row>
      <xdr:rowOff>104629</xdr:rowOff>
    </xdr:from>
    <xdr:to>
      <xdr:col>2</xdr:col>
      <xdr:colOff>3621900</xdr:colOff>
      <xdr:row>110</xdr:row>
      <xdr:rowOff>111125</xdr:rowOff>
    </xdr:to>
    <xdr:cxnSp macro="">
      <xdr:nvCxnSpPr>
        <xdr:cNvPr id="20" name="直線コネクタ 19">
          <a:extLst>
            <a:ext uri="{FF2B5EF4-FFF2-40B4-BE49-F238E27FC236}">
              <a16:creationId xmlns:a16="http://schemas.microsoft.com/office/drawing/2014/main" xmlns="" id="{00000000-0008-0000-0000-000015000000}"/>
            </a:ext>
          </a:extLst>
        </xdr:cNvPr>
        <xdr:cNvCxnSpPr>
          <a:stCxn id="19" idx="1"/>
          <a:endCxn id="17" idx="3"/>
        </xdr:cNvCxnSpPr>
      </xdr:nvCxnSpPr>
      <xdr:spPr>
        <a:xfrm flipH="1" flipV="1">
          <a:off x="2982327" y="27136579"/>
          <a:ext cx="934848" cy="6496"/>
        </a:xfrm>
        <a:prstGeom prst="line">
          <a:avLst/>
        </a:prstGeom>
        <a:ln w="38100" cmpd="sng">
          <a:prstDash val="sysDot"/>
          <a:headEnd type="oval"/>
          <a:tailEnd type="oval"/>
        </a:ln>
        <a:effectLst/>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281609</xdr:colOff>
      <xdr:row>88</xdr:row>
      <xdr:rowOff>173934</xdr:rowOff>
    </xdr:from>
    <xdr:to>
      <xdr:col>2</xdr:col>
      <xdr:colOff>919370</xdr:colOff>
      <xdr:row>92</xdr:row>
      <xdr:rowOff>49695</xdr:rowOff>
    </xdr:to>
    <xdr:sp macro="" textlink="">
      <xdr:nvSpPr>
        <xdr:cNvPr id="21" name="テキスト ボックス 20">
          <a:extLst>
            <a:ext uri="{FF2B5EF4-FFF2-40B4-BE49-F238E27FC236}">
              <a16:creationId xmlns:a16="http://schemas.microsoft.com/office/drawing/2014/main" xmlns="" id="{00000000-0008-0000-0000-000016000000}"/>
            </a:ext>
          </a:extLst>
        </xdr:cNvPr>
        <xdr:cNvSpPr txBox="1"/>
      </xdr:nvSpPr>
      <xdr:spPr>
        <a:xfrm>
          <a:off x="576884" y="23014884"/>
          <a:ext cx="637761" cy="637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①</a:t>
          </a:r>
        </a:p>
      </xdr:txBody>
    </xdr:sp>
    <xdr:clientData/>
  </xdr:twoCellAnchor>
  <xdr:twoCellAnchor>
    <xdr:from>
      <xdr:col>2</xdr:col>
      <xdr:colOff>265044</xdr:colOff>
      <xdr:row>93</xdr:row>
      <xdr:rowOff>165651</xdr:rowOff>
    </xdr:from>
    <xdr:to>
      <xdr:col>2</xdr:col>
      <xdr:colOff>902805</xdr:colOff>
      <xdr:row>97</xdr:row>
      <xdr:rowOff>41412</xdr:rowOff>
    </xdr:to>
    <xdr:sp macro="" textlink="">
      <xdr:nvSpPr>
        <xdr:cNvPr id="22" name="テキスト ボックス 21">
          <a:extLst>
            <a:ext uri="{FF2B5EF4-FFF2-40B4-BE49-F238E27FC236}">
              <a16:creationId xmlns:a16="http://schemas.microsoft.com/office/drawing/2014/main" xmlns="" id="{00000000-0008-0000-0000-000017000000}"/>
            </a:ext>
          </a:extLst>
        </xdr:cNvPr>
        <xdr:cNvSpPr txBox="1"/>
      </xdr:nvSpPr>
      <xdr:spPr>
        <a:xfrm>
          <a:off x="560319" y="23959101"/>
          <a:ext cx="637761" cy="637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②</a:t>
          </a:r>
        </a:p>
      </xdr:txBody>
    </xdr:sp>
    <xdr:clientData/>
  </xdr:twoCellAnchor>
  <xdr:twoCellAnchor>
    <xdr:from>
      <xdr:col>2</xdr:col>
      <xdr:colOff>273326</xdr:colOff>
      <xdr:row>98</xdr:row>
      <xdr:rowOff>157368</xdr:rowOff>
    </xdr:from>
    <xdr:to>
      <xdr:col>2</xdr:col>
      <xdr:colOff>911087</xdr:colOff>
      <xdr:row>102</xdr:row>
      <xdr:rowOff>33129</xdr:rowOff>
    </xdr:to>
    <xdr:sp macro="" textlink="">
      <xdr:nvSpPr>
        <xdr:cNvPr id="23" name="テキスト ボックス 22">
          <a:extLst>
            <a:ext uri="{FF2B5EF4-FFF2-40B4-BE49-F238E27FC236}">
              <a16:creationId xmlns:a16="http://schemas.microsoft.com/office/drawing/2014/main" xmlns="" id="{00000000-0008-0000-0000-000018000000}"/>
            </a:ext>
          </a:extLst>
        </xdr:cNvPr>
        <xdr:cNvSpPr txBox="1"/>
      </xdr:nvSpPr>
      <xdr:spPr>
        <a:xfrm>
          <a:off x="568601" y="24903318"/>
          <a:ext cx="637761" cy="637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③</a:t>
          </a:r>
        </a:p>
      </xdr:txBody>
    </xdr:sp>
    <xdr:clientData/>
  </xdr:twoCellAnchor>
  <xdr:twoCellAnchor>
    <xdr:from>
      <xdr:col>2</xdr:col>
      <xdr:colOff>281609</xdr:colOff>
      <xdr:row>103</xdr:row>
      <xdr:rowOff>182216</xdr:rowOff>
    </xdr:from>
    <xdr:to>
      <xdr:col>2</xdr:col>
      <xdr:colOff>919370</xdr:colOff>
      <xdr:row>107</xdr:row>
      <xdr:rowOff>57977</xdr:rowOff>
    </xdr:to>
    <xdr:sp macro="" textlink="">
      <xdr:nvSpPr>
        <xdr:cNvPr id="24" name="テキスト ボックス 23">
          <a:extLst>
            <a:ext uri="{FF2B5EF4-FFF2-40B4-BE49-F238E27FC236}">
              <a16:creationId xmlns:a16="http://schemas.microsoft.com/office/drawing/2014/main" xmlns="" id="{00000000-0008-0000-0000-000019000000}"/>
            </a:ext>
          </a:extLst>
        </xdr:cNvPr>
        <xdr:cNvSpPr txBox="1"/>
      </xdr:nvSpPr>
      <xdr:spPr>
        <a:xfrm>
          <a:off x="576884" y="25880666"/>
          <a:ext cx="637761" cy="637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④</a:t>
          </a:r>
        </a:p>
      </xdr:txBody>
    </xdr:sp>
    <xdr:clientData/>
  </xdr:twoCellAnchor>
  <xdr:twoCellAnchor>
    <xdr:from>
      <xdr:col>2</xdr:col>
      <xdr:colOff>281609</xdr:colOff>
      <xdr:row>108</xdr:row>
      <xdr:rowOff>165651</xdr:rowOff>
    </xdr:from>
    <xdr:to>
      <xdr:col>2</xdr:col>
      <xdr:colOff>919370</xdr:colOff>
      <xdr:row>112</xdr:row>
      <xdr:rowOff>41412</xdr:rowOff>
    </xdr:to>
    <xdr:sp macro="" textlink="">
      <xdr:nvSpPr>
        <xdr:cNvPr id="25" name="テキスト ボックス 24">
          <a:extLst>
            <a:ext uri="{FF2B5EF4-FFF2-40B4-BE49-F238E27FC236}">
              <a16:creationId xmlns:a16="http://schemas.microsoft.com/office/drawing/2014/main" xmlns="" id="{00000000-0008-0000-0000-00001A000000}"/>
            </a:ext>
          </a:extLst>
        </xdr:cNvPr>
        <xdr:cNvSpPr txBox="1"/>
      </xdr:nvSpPr>
      <xdr:spPr>
        <a:xfrm>
          <a:off x="576884" y="26816601"/>
          <a:ext cx="637761" cy="637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⑤</a:t>
          </a:r>
        </a:p>
      </xdr:txBody>
    </xdr:sp>
    <xdr:clientData/>
  </xdr:twoCellAnchor>
  <xdr:twoCellAnchor>
    <xdr:from>
      <xdr:col>2</xdr:col>
      <xdr:colOff>3677478</xdr:colOff>
      <xdr:row>85</xdr:row>
      <xdr:rowOff>24847</xdr:rowOff>
    </xdr:from>
    <xdr:to>
      <xdr:col>2</xdr:col>
      <xdr:colOff>6667499</xdr:colOff>
      <xdr:row>88</xdr:row>
      <xdr:rowOff>180975</xdr:rowOff>
    </xdr:to>
    <xdr:sp macro="" textlink="">
      <xdr:nvSpPr>
        <xdr:cNvPr id="26" name="線吹き出し 2 (枠付き) 25">
          <a:extLst>
            <a:ext uri="{FF2B5EF4-FFF2-40B4-BE49-F238E27FC236}">
              <a16:creationId xmlns:a16="http://schemas.microsoft.com/office/drawing/2014/main" xmlns="" id="{00000000-0008-0000-0000-00001B000000}"/>
            </a:ext>
          </a:extLst>
        </xdr:cNvPr>
        <xdr:cNvSpPr/>
      </xdr:nvSpPr>
      <xdr:spPr>
        <a:xfrm>
          <a:off x="3972753" y="16198297"/>
          <a:ext cx="2990021" cy="727628"/>
        </a:xfrm>
        <a:prstGeom prst="borderCallout2">
          <a:avLst>
            <a:gd name="adj1" fmla="val 18750"/>
            <a:gd name="adj2" fmla="val -8333"/>
            <a:gd name="adj3" fmla="val 18750"/>
            <a:gd name="adj4" fmla="val -16667"/>
            <a:gd name="adj5" fmla="val 98692"/>
            <a:gd name="adj6" fmla="val -32651"/>
          </a:avLst>
        </a:prstGeom>
        <a:ln w="38100">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３月２１日（木）までに現顧問が手続きを済ませてください。</a:t>
          </a:r>
        </a:p>
        <a:p>
          <a:pPr algn="l"/>
          <a:r>
            <a:rPr kumimoji="1" lang="ja-JP" altLang="en-US" sz="1100"/>
            <a:t>このデータを使用し大会当番を割り振ります。</a:t>
          </a:r>
        </a:p>
      </xdr:txBody>
    </xdr:sp>
    <xdr:clientData/>
  </xdr:twoCellAnchor>
  <xdr:twoCellAnchor>
    <xdr:from>
      <xdr:col>2</xdr:col>
      <xdr:colOff>19050</xdr:colOff>
      <xdr:row>8</xdr:row>
      <xdr:rowOff>59267</xdr:rowOff>
    </xdr:from>
    <xdr:to>
      <xdr:col>2</xdr:col>
      <xdr:colOff>6747933</xdr:colOff>
      <xdr:row>10</xdr:row>
      <xdr:rowOff>0</xdr:rowOff>
    </xdr:to>
    <xdr:sp macro="" textlink="">
      <xdr:nvSpPr>
        <xdr:cNvPr id="46" name="AutoShape 149">
          <a:extLst>
            <a:ext uri="{FF2B5EF4-FFF2-40B4-BE49-F238E27FC236}">
              <a16:creationId xmlns:a16="http://schemas.microsoft.com/office/drawing/2014/main" xmlns="" id="{00000000-0008-0000-0000-000095A40000}"/>
            </a:ext>
          </a:extLst>
        </xdr:cNvPr>
        <xdr:cNvSpPr>
          <a:spLocks noChangeArrowheads="1"/>
        </xdr:cNvSpPr>
      </xdr:nvSpPr>
      <xdr:spPr bwMode="auto">
        <a:xfrm>
          <a:off x="314325" y="7707842"/>
          <a:ext cx="6728883" cy="321733"/>
        </a:xfrm>
        <a:prstGeom prst="bevel">
          <a:avLst>
            <a:gd name="adj" fmla="val 1250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400" b="0" i="0" u="none" strike="noStrike" baseline="0">
              <a:solidFill>
                <a:srgbClr val="000000"/>
              </a:solidFill>
              <a:latin typeface="HG創英角ｺﾞｼｯｸUB"/>
              <a:ea typeface="HG創英角ｺﾞｼｯｸUB"/>
            </a:rPr>
            <a:t>異動などで顧問が変わる場合には上記のことを必ず引き継いでください。</a:t>
          </a:r>
        </a:p>
      </xdr:txBody>
    </xdr:sp>
    <xdr:clientData/>
  </xdr:twoCellAnchor>
  <xdr:twoCellAnchor>
    <xdr:from>
      <xdr:col>0</xdr:col>
      <xdr:colOff>28576</xdr:colOff>
      <xdr:row>70</xdr:row>
      <xdr:rowOff>171451</xdr:rowOff>
    </xdr:from>
    <xdr:to>
      <xdr:col>2</xdr:col>
      <xdr:colOff>6871758</xdr:colOff>
      <xdr:row>82</xdr:row>
      <xdr:rowOff>76200</xdr:rowOff>
    </xdr:to>
    <xdr:grpSp>
      <xdr:nvGrpSpPr>
        <xdr:cNvPr id="47" name="グループ化 46">
          <a:extLst>
            <a:ext uri="{FF2B5EF4-FFF2-40B4-BE49-F238E27FC236}">
              <a16:creationId xmlns:a16="http://schemas.microsoft.com/office/drawing/2014/main" xmlns="" id="{00000000-0008-0000-0000-000002000000}"/>
            </a:ext>
          </a:extLst>
        </xdr:cNvPr>
        <xdr:cNvGrpSpPr/>
      </xdr:nvGrpSpPr>
      <xdr:grpSpPr>
        <a:xfrm>
          <a:off x="28576" y="13487401"/>
          <a:ext cx="7138457" cy="2190749"/>
          <a:chOff x="28576" y="19392901"/>
          <a:chExt cx="7138457" cy="2190749"/>
        </a:xfrm>
      </xdr:grpSpPr>
      <xdr:graphicFrame macro="">
        <xdr:nvGraphicFramePr>
          <xdr:cNvPr id="48" name="図表 47">
            <a:extLst>
              <a:ext uri="{FF2B5EF4-FFF2-40B4-BE49-F238E27FC236}">
                <a16:creationId xmlns:a16="http://schemas.microsoft.com/office/drawing/2014/main" xmlns="" id="{00000000-0008-0000-0000-00001C000000}"/>
              </a:ext>
            </a:extLst>
          </xdr:cNvPr>
          <xdr:cNvGraphicFramePr/>
        </xdr:nvGraphicFramePr>
        <xdr:xfrm>
          <a:off x="28576" y="19431001"/>
          <a:ext cx="2724150" cy="201930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graphicFrame macro="">
        <xdr:nvGraphicFramePr>
          <xdr:cNvPr id="49" name="図表 48">
            <a:extLst>
              <a:ext uri="{FF2B5EF4-FFF2-40B4-BE49-F238E27FC236}">
                <a16:creationId xmlns:a16="http://schemas.microsoft.com/office/drawing/2014/main" xmlns="" id="{00000000-0008-0000-0000-00001D000000}"/>
              </a:ext>
            </a:extLst>
          </xdr:cNvPr>
          <xdr:cNvGraphicFramePr/>
        </xdr:nvGraphicFramePr>
        <xdr:xfrm>
          <a:off x="2000250" y="19411951"/>
          <a:ext cx="2924175" cy="213360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graphicFrame macro="">
        <xdr:nvGraphicFramePr>
          <xdr:cNvPr id="50" name="図表 49">
            <a:extLst>
              <a:ext uri="{FF2B5EF4-FFF2-40B4-BE49-F238E27FC236}">
                <a16:creationId xmlns:a16="http://schemas.microsoft.com/office/drawing/2014/main" xmlns="" id="{00000000-0008-0000-0000-00001E000000}"/>
              </a:ext>
            </a:extLst>
          </xdr:cNvPr>
          <xdr:cNvGraphicFramePr/>
        </xdr:nvGraphicFramePr>
        <xdr:xfrm>
          <a:off x="4229100" y="19392901"/>
          <a:ext cx="2924175" cy="213360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sp macro="" textlink="">
        <xdr:nvSpPr>
          <xdr:cNvPr id="51" name="角丸四角形 50">
            <a:extLst>
              <a:ext uri="{FF2B5EF4-FFF2-40B4-BE49-F238E27FC236}">
                <a16:creationId xmlns:a16="http://schemas.microsoft.com/office/drawing/2014/main" xmlns="" id="{00000000-0008-0000-0000-00001F000000}"/>
              </a:ext>
            </a:extLst>
          </xdr:cNvPr>
          <xdr:cNvSpPr/>
        </xdr:nvSpPr>
        <xdr:spPr>
          <a:xfrm>
            <a:off x="1333499" y="21031200"/>
            <a:ext cx="5724525" cy="552450"/>
          </a:xfrm>
          <a:prstGeom prst="round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2" name="テキスト ボックス 51">
            <a:extLst>
              <a:ext uri="{FF2B5EF4-FFF2-40B4-BE49-F238E27FC236}">
                <a16:creationId xmlns:a16="http://schemas.microsoft.com/office/drawing/2014/main" xmlns="" id="{00000000-0008-0000-0000-000020000000}"/>
              </a:ext>
            </a:extLst>
          </xdr:cNvPr>
          <xdr:cNvSpPr txBox="1"/>
        </xdr:nvSpPr>
        <xdr:spPr>
          <a:xfrm>
            <a:off x="6319308" y="19971809"/>
            <a:ext cx="8477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③</a:t>
            </a:r>
          </a:p>
        </xdr:txBody>
      </xdr:sp>
      <xdr:sp macro="" textlink="">
        <xdr:nvSpPr>
          <xdr:cNvPr id="53" name="テキスト ボックス 52">
            <a:extLst>
              <a:ext uri="{FF2B5EF4-FFF2-40B4-BE49-F238E27FC236}">
                <a16:creationId xmlns:a16="http://schemas.microsoft.com/office/drawing/2014/main" xmlns="" id="{00000000-0008-0000-0000-000021000000}"/>
              </a:ext>
            </a:extLst>
          </xdr:cNvPr>
          <xdr:cNvSpPr txBox="1"/>
        </xdr:nvSpPr>
        <xdr:spPr>
          <a:xfrm>
            <a:off x="4085166" y="19650074"/>
            <a:ext cx="667809" cy="1248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latin typeface="ＭＳ ゴシック" panose="020B0609070205080204" pitchFamily="49" charset="-128"/>
                <a:ea typeface="ＭＳ ゴシック" panose="020B0609070205080204" pitchFamily="49" charset="-128"/>
              </a:rPr>
              <a:t>②</a:t>
            </a:r>
          </a:p>
          <a:p>
            <a:pPr algn="ctr">
              <a:lnSpc>
                <a:spcPts val="2100"/>
              </a:lnSpc>
            </a:pPr>
            <a:r>
              <a:rPr kumimoji="1" lang="ja-JP" altLang="en-US" sz="1800">
                <a:latin typeface="ＭＳ ゴシック" panose="020B0609070205080204" pitchFamily="49" charset="-128"/>
                <a:ea typeface="ＭＳ ゴシック" panose="020B0609070205080204" pitchFamily="49" charset="-128"/>
              </a:rPr>
              <a:t>④</a:t>
            </a:r>
          </a:p>
          <a:p>
            <a:pPr algn="ctr">
              <a:lnSpc>
                <a:spcPts val="2000"/>
              </a:lnSpc>
            </a:pPr>
            <a:r>
              <a:rPr kumimoji="1" lang="ja-JP" altLang="en-US" sz="1800">
                <a:latin typeface="ＭＳ ゴシック" panose="020B0609070205080204" pitchFamily="49" charset="-128"/>
                <a:ea typeface="ＭＳ ゴシック" panose="020B0609070205080204" pitchFamily="49" charset="-128"/>
              </a:rPr>
              <a:t>⑤</a:t>
            </a:r>
          </a:p>
        </xdr:txBody>
      </xdr:sp>
      <xdr:sp macro="" textlink="">
        <xdr:nvSpPr>
          <xdr:cNvPr id="54" name="テキスト ボックス 53">
            <a:extLst>
              <a:ext uri="{FF2B5EF4-FFF2-40B4-BE49-F238E27FC236}">
                <a16:creationId xmlns:a16="http://schemas.microsoft.com/office/drawing/2014/main" xmlns="" id="{00000000-0008-0000-0000-000022000000}"/>
              </a:ext>
            </a:extLst>
          </xdr:cNvPr>
          <xdr:cNvSpPr txBox="1"/>
        </xdr:nvSpPr>
        <xdr:spPr>
          <a:xfrm>
            <a:off x="295275" y="19488150"/>
            <a:ext cx="8382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800">
              <a:latin typeface="ＭＳ ゴシック" panose="020B0609070205080204" pitchFamily="49" charset="-128"/>
              <a:ea typeface="ＭＳ ゴシック" panose="020B0609070205080204" pitchFamily="49" charset="-128"/>
            </a:endParaRPr>
          </a:p>
        </xdr:txBody>
      </xdr:sp>
      <xdr:sp macro="" textlink="">
        <xdr:nvSpPr>
          <xdr:cNvPr id="55" name="角丸四角形 54">
            <a:extLst>
              <a:ext uri="{FF2B5EF4-FFF2-40B4-BE49-F238E27FC236}">
                <a16:creationId xmlns:a16="http://schemas.microsoft.com/office/drawing/2014/main" xmlns="" id="{00000000-0008-0000-0000-000023000000}"/>
              </a:ext>
            </a:extLst>
          </xdr:cNvPr>
          <xdr:cNvSpPr/>
        </xdr:nvSpPr>
        <xdr:spPr>
          <a:xfrm>
            <a:off x="2933700" y="19411950"/>
            <a:ext cx="3076576" cy="409575"/>
          </a:xfrm>
          <a:prstGeom prst="roundRect">
            <a:avLst/>
          </a:prstGeom>
          <a:noFill/>
          <a:ln w="571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6" name="テキスト ボックス 55">
            <a:extLst>
              <a:ext uri="{FF2B5EF4-FFF2-40B4-BE49-F238E27FC236}">
                <a16:creationId xmlns:a16="http://schemas.microsoft.com/office/drawing/2014/main" xmlns="" id="{00000000-0008-0000-0000-00003B000000}"/>
              </a:ext>
            </a:extLst>
          </xdr:cNvPr>
          <xdr:cNvSpPr txBox="1"/>
        </xdr:nvSpPr>
        <xdr:spPr>
          <a:xfrm>
            <a:off x="1573741" y="19483917"/>
            <a:ext cx="8477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④</a:t>
            </a:r>
          </a:p>
        </xdr:txBody>
      </xdr:sp>
      <xdr:sp macro="" textlink="">
        <xdr:nvSpPr>
          <xdr:cNvPr id="61" name="テキスト ボックス 60">
            <a:extLst>
              <a:ext uri="{FF2B5EF4-FFF2-40B4-BE49-F238E27FC236}">
                <a16:creationId xmlns:a16="http://schemas.microsoft.com/office/drawing/2014/main" xmlns="" id="{00000000-0008-0000-0000-00003B000000}"/>
              </a:ext>
            </a:extLst>
          </xdr:cNvPr>
          <xdr:cNvSpPr txBox="1"/>
        </xdr:nvSpPr>
        <xdr:spPr>
          <a:xfrm>
            <a:off x="4276725" y="21150792"/>
            <a:ext cx="65934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①</a:t>
            </a:r>
          </a:p>
        </xdr:txBody>
      </xdr:sp>
      <xdr:sp macro="" textlink="">
        <xdr:nvSpPr>
          <xdr:cNvPr id="62" name="テキスト ボックス 61">
            <a:extLst>
              <a:ext uri="{FF2B5EF4-FFF2-40B4-BE49-F238E27FC236}">
                <a16:creationId xmlns:a16="http://schemas.microsoft.com/office/drawing/2014/main" xmlns="" id="{00000000-0008-0000-0000-00003B000000}"/>
              </a:ext>
            </a:extLst>
          </xdr:cNvPr>
          <xdr:cNvSpPr txBox="1"/>
        </xdr:nvSpPr>
        <xdr:spPr>
          <a:xfrm>
            <a:off x="6496050" y="21131742"/>
            <a:ext cx="65934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①</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1589313</xdr:colOff>
      <xdr:row>61</xdr:row>
      <xdr:rowOff>50349</xdr:rowOff>
    </xdr:from>
    <xdr:to>
      <xdr:col>6</xdr:col>
      <xdr:colOff>498019</xdr:colOff>
      <xdr:row>65</xdr:row>
      <xdr:rowOff>74841</xdr:rowOff>
    </xdr:to>
    <xdr:sp macro="" textlink="">
      <xdr:nvSpPr>
        <xdr:cNvPr id="3" name="角丸四角形 2"/>
        <xdr:cNvSpPr>
          <a:spLocks noChangeArrowheads="1"/>
        </xdr:cNvSpPr>
      </xdr:nvSpPr>
      <xdr:spPr bwMode="auto">
        <a:xfrm>
          <a:off x="5208813" y="968964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1589313</xdr:colOff>
      <xdr:row>61</xdr:row>
      <xdr:rowOff>50349</xdr:rowOff>
    </xdr:from>
    <xdr:to>
      <xdr:col>6</xdr:col>
      <xdr:colOff>498019</xdr:colOff>
      <xdr:row>65</xdr:row>
      <xdr:rowOff>74841</xdr:rowOff>
    </xdr:to>
    <xdr:sp macro="" textlink="">
      <xdr:nvSpPr>
        <xdr:cNvPr id="2" name="角丸四角形 1"/>
        <xdr:cNvSpPr>
          <a:spLocks noChangeArrowheads="1"/>
        </xdr:cNvSpPr>
      </xdr:nvSpPr>
      <xdr:spPr bwMode="auto">
        <a:xfrm>
          <a:off x="5208813" y="963249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1589313</xdr:colOff>
      <xdr:row>59</xdr:row>
      <xdr:rowOff>50349</xdr:rowOff>
    </xdr:from>
    <xdr:to>
      <xdr:col>6</xdr:col>
      <xdr:colOff>498019</xdr:colOff>
      <xdr:row>63</xdr:row>
      <xdr:rowOff>74841</xdr:rowOff>
    </xdr:to>
    <xdr:sp macro="" textlink="">
      <xdr:nvSpPr>
        <xdr:cNvPr id="3" name="角丸四角形 2"/>
        <xdr:cNvSpPr>
          <a:spLocks noChangeArrowheads="1"/>
        </xdr:cNvSpPr>
      </xdr:nvSpPr>
      <xdr:spPr bwMode="auto">
        <a:xfrm>
          <a:off x="5208813" y="10003974"/>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1589313</xdr:colOff>
      <xdr:row>59</xdr:row>
      <xdr:rowOff>50349</xdr:rowOff>
    </xdr:from>
    <xdr:to>
      <xdr:col>6</xdr:col>
      <xdr:colOff>498019</xdr:colOff>
      <xdr:row>63</xdr:row>
      <xdr:rowOff>74841</xdr:rowOff>
    </xdr:to>
    <xdr:sp macro="" textlink="">
      <xdr:nvSpPr>
        <xdr:cNvPr id="2" name="角丸四角形 1"/>
        <xdr:cNvSpPr>
          <a:spLocks noChangeArrowheads="1"/>
        </xdr:cNvSpPr>
      </xdr:nvSpPr>
      <xdr:spPr bwMode="auto">
        <a:xfrm>
          <a:off x="5208813" y="978489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1589313</xdr:colOff>
      <xdr:row>57</xdr:row>
      <xdr:rowOff>50349</xdr:rowOff>
    </xdr:from>
    <xdr:to>
      <xdr:col>6</xdr:col>
      <xdr:colOff>498019</xdr:colOff>
      <xdr:row>61</xdr:row>
      <xdr:rowOff>74841</xdr:rowOff>
    </xdr:to>
    <xdr:sp macro="" textlink="">
      <xdr:nvSpPr>
        <xdr:cNvPr id="2" name="角丸四角形 1"/>
        <xdr:cNvSpPr>
          <a:spLocks noChangeArrowheads="1"/>
        </xdr:cNvSpPr>
      </xdr:nvSpPr>
      <xdr:spPr bwMode="auto">
        <a:xfrm>
          <a:off x="5208813" y="978489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1589313</xdr:colOff>
      <xdr:row>57</xdr:row>
      <xdr:rowOff>50349</xdr:rowOff>
    </xdr:from>
    <xdr:to>
      <xdr:col>6</xdr:col>
      <xdr:colOff>498019</xdr:colOff>
      <xdr:row>61</xdr:row>
      <xdr:rowOff>74841</xdr:rowOff>
    </xdr:to>
    <xdr:sp macro="" textlink="">
      <xdr:nvSpPr>
        <xdr:cNvPr id="2" name="角丸四角形 1"/>
        <xdr:cNvSpPr>
          <a:spLocks noChangeArrowheads="1"/>
        </xdr:cNvSpPr>
      </xdr:nvSpPr>
      <xdr:spPr bwMode="auto">
        <a:xfrm>
          <a:off x="5208813" y="965154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1589313</xdr:colOff>
      <xdr:row>58</xdr:row>
      <xdr:rowOff>50349</xdr:rowOff>
    </xdr:from>
    <xdr:to>
      <xdr:col>6</xdr:col>
      <xdr:colOff>498019</xdr:colOff>
      <xdr:row>62</xdr:row>
      <xdr:rowOff>74841</xdr:rowOff>
    </xdr:to>
    <xdr:sp macro="" textlink="">
      <xdr:nvSpPr>
        <xdr:cNvPr id="2" name="角丸四角形 2"/>
        <xdr:cNvSpPr>
          <a:spLocks noChangeArrowheads="1"/>
        </xdr:cNvSpPr>
      </xdr:nvSpPr>
      <xdr:spPr bwMode="auto">
        <a:xfrm>
          <a:off x="5208813" y="968964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1589313</xdr:colOff>
      <xdr:row>58</xdr:row>
      <xdr:rowOff>50349</xdr:rowOff>
    </xdr:from>
    <xdr:to>
      <xdr:col>6</xdr:col>
      <xdr:colOff>498019</xdr:colOff>
      <xdr:row>62</xdr:row>
      <xdr:rowOff>74841</xdr:rowOff>
    </xdr:to>
    <xdr:sp macro="" textlink="">
      <xdr:nvSpPr>
        <xdr:cNvPr id="2" name="角丸四角形 2"/>
        <xdr:cNvSpPr>
          <a:spLocks noChangeArrowheads="1"/>
        </xdr:cNvSpPr>
      </xdr:nvSpPr>
      <xdr:spPr bwMode="auto">
        <a:xfrm>
          <a:off x="5208813" y="968964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1589313</xdr:colOff>
      <xdr:row>58</xdr:row>
      <xdr:rowOff>50349</xdr:rowOff>
    </xdr:from>
    <xdr:to>
      <xdr:col>6</xdr:col>
      <xdr:colOff>498019</xdr:colOff>
      <xdr:row>62</xdr:row>
      <xdr:rowOff>74841</xdr:rowOff>
    </xdr:to>
    <xdr:sp macro="" textlink="">
      <xdr:nvSpPr>
        <xdr:cNvPr id="3" name="角丸四角形 2"/>
        <xdr:cNvSpPr>
          <a:spLocks noChangeArrowheads="1"/>
        </xdr:cNvSpPr>
      </xdr:nvSpPr>
      <xdr:spPr bwMode="auto">
        <a:xfrm>
          <a:off x="5208813" y="968964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1589313</xdr:colOff>
      <xdr:row>58</xdr:row>
      <xdr:rowOff>50349</xdr:rowOff>
    </xdr:from>
    <xdr:to>
      <xdr:col>6</xdr:col>
      <xdr:colOff>498019</xdr:colOff>
      <xdr:row>62</xdr:row>
      <xdr:rowOff>74841</xdr:rowOff>
    </xdr:to>
    <xdr:sp macro="" textlink="">
      <xdr:nvSpPr>
        <xdr:cNvPr id="2" name="角丸四角形 1"/>
        <xdr:cNvSpPr>
          <a:spLocks noChangeArrowheads="1"/>
        </xdr:cNvSpPr>
      </xdr:nvSpPr>
      <xdr:spPr bwMode="auto">
        <a:xfrm>
          <a:off x="5208813" y="968964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493060</xdr:colOff>
      <xdr:row>8</xdr:row>
      <xdr:rowOff>42582</xdr:rowOff>
    </xdr:from>
    <xdr:to>
      <xdr:col>27</xdr:col>
      <xdr:colOff>616325</xdr:colOff>
      <xdr:row>29</xdr:row>
      <xdr:rowOff>100852</xdr:rowOff>
    </xdr:to>
    <xdr:sp macro="" textlink="">
      <xdr:nvSpPr>
        <xdr:cNvPr id="1027" name="AutoShape 3">
          <a:extLst>
            <a:ext uri="{FF2B5EF4-FFF2-40B4-BE49-F238E27FC236}">
              <a16:creationId xmlns:a16="http://schemas.microsoft.com/office/drawing/2014/main" xmlns="" id="{00000000-0008-0000-0200-000003040000}"/>
            </a:ext>
          </a:extLst>
        </xdr:cNvPr>
        <xdr:cNvSpPr>
          <a:spLocks noChangeArrowheads="1"/>
        </xdr:cNvSpPr>
      </xdr:nvSpPr>
      <xdr:spPr bwMode="auto">
        <a:xfrm>
          <a:off x="14276295" y="1387288"/>
          <a:ext cx="2857501" cy="3588123"/>
        </a:xfrm>
        <a:prstGeom prst="bevel">
          <a:avLst>
            <a:gd name="adj" fmla="val 3958"/>
          </a:avLst>
        </a:prstGeom>
        <a:solidFill>
          <a:srgbClr val="3366FF"/>
        </a:solidFill>
        <a:ln w="9525">
          <a:solidFill>
            <a:srgbClr val="000000"/>
          </a:solidFill>
          <a:miter lim="800000"/>
          <a:headEnd/>
          <a:tailEnd/>
        </a:ln>
      </xdr:spPr>
      <xdr:txBody>
        <a:bodyPr vertOverflow="clip" wrap="square" lIns="64008" tIns="27432" rIns="0" bIns="0" anchor="t" upright="1"/>
        <a:lstStyle/>
        <a:p>
          <a:pPr algn="l" rtl="0">
            <a:lnSpc>
              <a:spcPts val="1800"/>
            </a:lnSpc>
            <a:defRPr sz="1000"/>
          </a:pPr>
          <a:r>
            <a:rPr lang="ja-JP" altLang="en-US" sz="1400" b="0" i="0" u="none" strike="noStrike" baseline="0">
              <a:solidFill>
                <a:srgbClr val="FFFFFF"/>
              </a:solidFill>
              <a:latin typeface="HG丸ｺﾞｼｯｸM-PRO"/>
              <a:ea typeface="HG丸ｺﾞｼｯｸM-PRO"/>
            </a:rPr>
            <a:t>☆必ず「入力方法」のシートの注意を読み入力してください。</a:t>
          </a:r>
        </a:p>
        <a:p>
          <a:pPr algn="l" rtl="0">
            <a:lnSpc>
              <a:spcPts val="1700"/>
            </a:lnSpc>
            <a:defRPr sz="1000"/>
          </a:pPr>
          <a:endParaRPr lang="ja-JP" altLang="en-US" sz="1400" b="0" i="0" u="none" strike="noStrike" baseline="0">
            <a:solidFill>
              <a:srgbClr val="FFFFFF"/>
            </a:solidFill>
            <a:latin typeface="HG丸ｺﾞｼｯｸM-PRO"/>
            <a:ea typeface="HG丸ｺﾞｼｯｸM-PRO"/>
          </a:endParaRPr>
        </a:p>
        <a:p>
          <a:pPr algn="l" rtl="0">
            <a:lnSpc>
              <a:spcPts val="1700"/>
            </a:lnSpc>
            <a:defRPr sz="1000"/>
          </a:pPr>
          <a:r>
            <a:rPr lang="ja-JP" altLang="en-US" sz="1400" b="0" i="0" u="none" strike="noStrike" baseline="0">
              <a:solidFill>
                <a:srgbClr val="FFFFFF"/>
              </a:solidFill>
              <a:latin typeface="HG丸ｺﾞｼｯｸM-PRO"/>
              <a:ea typeface="HG丸ｺﾞｼｯｸM-PRO"/>
            </a:rPr>
            <a:t>☆とくに「名字」「名前」に余分なスペースを入力しないでください。</a:t>
          </a:r>
        </a:p>
        <a:p>
          <a:pPr algn="l" rtl="0">
            <a:lnSpc>
              <a:spcPts val="1800"/>
            </a:lnSpc>
            <a:defRPr sz="1000"/>
          </a:pPr>
          <a:r>
            <a:rPr lang="ja-JP" altLang="en-US" sz="1400" b="0" i="0" u="none" strike="noStrike" baseline="0">
              <a:solidFill>
                <a:srgbClr val="FFFFFF"/>
              </a:solidFill>
              <a:latin typeface="HG丸ｺﾞｼｯｸM-PRO"/>
              <a:ea typeface="HG丸ｺﾞｼｯｸM-PRO"/>
            </a:rPr>
            <a:t>例</a:t>
          </a:r>
        </a:p>
        <a:p>
          <a:pPr algn="l" rtl="0">
            <a:lnSpc>
              <a:spcPts val="1800"/>
            </a:lnSpc>
            <a:defRPr sz="1000"/>
          </a:pPr>
          <a:r>
            <a:rPr lang="ja-JP" altLang="en-US" sz="1400" b="0" i="0" u="none" strike="noStrike" baseline="0">
              <a:solidFill>
                <a:srgbClr val="FFFFFF"/>
              </a:solidFill>
              <a:latin typeface="HG丸ｺﾞｼｯｸM-PRO"/>
              <a:ea typeface="HG丸ｺﾞｼｯｸM-PRO"/>
            </a:rPr>
            <a:t>「高橋　」</a:t>
          </a:r>
        </a:p>
        <a:p>
          <a:pPr algn="l" rtl="0">
            <a:lnSpc>
              <a:spcPts val="1500"/>
            </a:lnSpc>
            <a:defRPr sz="1000"/>
          </a:pPr>
          <a:r>
            <a:rPr lang="ja-JP" altLang="en-US" sz="1400" b="0" i="0" u="none" strike="noStrike" baseline="0">
              <a:solidFill>
                <a:srgbClr val="FFFFFF"/>
              </a:solidFill>
              <a:latin typeface="HG丸ｺﾞｼｯｸM-PRO"/>
              <a:ea typeface="HG丸ｺﾞｼｯｸM-PRO"/>
            </a:rPr>
            <a:t>これだと高橋のあとに目には見えませんがスペースがあります。</a:t>
          </a:r>
        </a:p>
      </xdr:txBody>
    </xdr:sp>
    <xdr:clientData fPrintsWithSheet="0"/>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257175</xdr:colOff>
          <xdr:row>0</xdr:row>
          <xdr:rowOff>95250</xdr:rowOff>
        </xdr:from>
        <xdr:to>
          <xdr:col>15</xdr:col>
          <xdr:colOff>704850</xdr:colOff>
          <xdr:row>3</xdr:row>
          <xdr:rowOff>85725</xdr:rowOff>
        </xdr:to>
        <xdr:sp macro="" textlink="">
          <xdr:nvSpPr>
            <xdr:cNvPr id="25601" name="Spinner 1" hidden="1">
              <a:extLst>
                <a:ext uri="{63B3BB69-23CF-44E3-9099-C40C66FF867C}">
                  <a14:compatExt spid="_x0000_s25601"/>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xdr:from>
      <xdr:col>9</xdr:col>
      <xdr:colOff>95250</xdr:colOff>
      <xdr:row>3</xdr:row>
      <xdr:rowOff>219075</xdr:rowOff>
    </xdr:from>
    <xdr:to>
      <xdr:col>10</xdr:col>
      <xdr:colOff>419100</xdr:colOff>
      <xdr:row>6</xdr:row>
      <xdr:rowOff>228600</xdr:rowOff>
    </xdr:to>
    <xdr:sp macro="" textlink="">
      <xdr:nvSpPr>
        <xdr:cNvPr id="3" name="角丸四角形 2">
          <a:extLst>
            <a:ext uri="{FF2B5EF4-FFF2-40B4-BE49-F238E27FC236}">
              <a16:creationId xmlns:a16="http://schemas.microsoft.com/office/drawing/2014/main" xmlns="" id="{00000000-0008-0000-1E00-000003000000}"/>
            </a:ext>
          </a:extLst>
        </xdr:cNvPr>
        <xdr:cNvSpPr>
          <a:spLocks noChangeArrowheads="1"/>
        </xdr:cNvSpPr>
      </xdr:nvSpPr>
      <xdr:spPr bwMode="auto">
        <a:xfrm>
          <a:off x="5657850" y="933450"/>
          <a:ext cx="762000" cy="723900"/>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endParaRPr lang="ja-JP" altLang="en-US" sz="140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ＤＦ特太ゴシック体"/>
              <a:ea typeface="ＤＦ特太ゴシック体"/>
            </a:rPr>
            <a:t>校長印</a:t>
          </a:r>
          <a:endParaRPr lang="ja-JP" altLang="en-US" sz="1050" b="0" i="0" u="none" strike="noStrike" baseline="0">
            <a:solidFill>
              <a:srgbClr val="000000"/>
            </a:solidFill>
            <a:latin typeface="Times New Roman"/>
            <a:ea typeface="ＤＦ特太ゴシック体"/>
            <a:cs typeface="Times New Roman"/>
          </a:endParaRPr>
        </a:p>
        <a:p>
          <a:pPr algn="l" rtl="0">
            <a:defRPr sz="1000"/>
          </a:pPr>
          <a:endParaRPr lang="ja-JP" altLang="en-US"/>
        </a:p>
      </xdr:txBody>
    </xdr:sp>
    <xdr:clientData/>
  </xdr:twoCellAnchor>
  <xdr:twoCellAnchor>
    <xdr:from>
      <xdr:col>5</xdr:col>
      <xdr:colOff>171450</xdr:colOff>
      <xdr:row>0</xdr:row>
      <xdr:rowOff>0</xdr:rowOff>
    </xdr:from>
    <xdr:to>
      <xdr:col>7</xdr:col>
      <xdr:colOff>666749</xdr:colOff>
      <xdr:row>2</xdr:row>
      <xdr:rowOff>85725</xdr:rowOff>
    </xdr:to>
    <xdr:sp macro="" textlink="">
      <xdr:nvSpPr>
        <xdr:cNvPr id="4" name="テキスト ボックス 1">
          <a:extLst>
            <a:ext uri="{FF2B5EF4-FFF2-40B4-BE49-F238E27FC236}">
              <a16:creationId xmlns:a16="http://schemas.microsoft.com/office/drawing/2014/main" xmlns="" id="{00000000-0008-0000-1E00-000004000000}"/>
            </a:ext>
          </a:extLst>
        </xdr:cNvPr>
        <xdr:cNvSpPr txBox="1">
          <a:spLocks noChangeArrowheads="1"/>
        </xdr:cNvSpPr>
      </xdr:nvSpPr>
      <xdr:spPr bwMode="auto">
        <a:xfrm>
          <a:off x="2419350" y="0"/>
          <a:ext cx="1628774" cy="561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ctr" upright="1"/>
        <a:lstStyle/>
        <a:p>
          <a:pPr algn="ctr" rtl="0">
            <a:defRPr sz="1000"/>
          </a:pPr>
          <a:r>
            <a:rPr lang="ja-JP" altLang="en-US" sz="2400" b="0" i="0" u="none" strike="noStrike" baseline="0">
              <a:solidFill>
                <a:srgbClr val="000000"/>
              </a:solidFill>
              <a:latin typeface="ＤＨＰ特太ゴシック体"/>
              <a:ea typeface="ＤＨＰ特太ゴシック体"/>
            </a:rPr>
            <a:t>（案）</a:t>
          </a:r>
          <a:endParaRPr lang="ja-JP" altLang="en-US" sz="2400" b="0" i="0" u="none" strike="noStrike" baseline="0">
            <a:solidFill>
              <a:srgbClr val="000000"/>
            </a:solidFill>
            <a:latin typeface="Times New Roman"/>
            <a:ea typeface="ＤＨＰ特太ゴシック体"/>
            <a:cs typeface="Times New Roman"/>
          </a:endParaRPr>
        </a:p>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625929</xdr:colOff>
      <xdr:row>65</xdr:row>
      <xdr:rowOff>27213</xdr:rowOff>
    </xdr:from>
    <xdr:to>
      <xdr:col>6</xdr:col>
      <xdr:colOff>1129393</xdr:colOff>
      <xdr:row>133</xdr:row>
      <xdr:rowOff>27214</xdr:rowOff>
    </xdr:to>
    <xdr:sp macro="" textlink="">
      <xdr:nvSpPr>
        <xdr:cNvPr id="4" name="テキスト ボックス 3">
          <a:extLst>
            <a:ext uri="{FF2B5EF4-FFF2-40B4-BE49-F238E27FC236}">
              <a16:creationId xmlns:a16="http://schemas.microsoft.com/office/drawing/2014/main" xmlns="" id="{00000000-0008-0000-0800-000004000000}"/>
            </a:ext>
          </a:extLst>
        </xdr:cNvPr>
        <xdr:cNvSpPr txBox="1"/>
      </xdr:nvSpPr>
      <xdr:spPr>
        <a:xfrm>
          <a:off x="6081033" y="10763249"/>
          <a:ext cx="0" cy="17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1589313</xdr:colOff>
      <xdr:row>60</xdr:row>
      <xdr:rowOff>50349</xdr:rowOff>
    </xdr:from>
    <xdr:to>
      <xdr:col>6</xdr:col>
      <xdr:colOff>498019</xdr:colOff>
      <xdr:row>64</xdr:row>
      <xdr:rowOff>74841</xdr:rowOff>
    </xdr:to>
    <xdr:sp macro="" textlink="">
      <xdr:nvSpPr>
        <xdr:cNvPr id="4098" name="角丸四角形 2"/>
        <xdr:cNvSpPr>
          <a:spLocks noChangeArrowheads="1"/>
        </xdr:cNvSpPr>
      </xdr:nvSpPr>
      <xdr:spPr bwMode="auto">
        <a:xfrm>
          <a:off x="5236027" y="10092420"/>
          <a:ext cx="759278" cy="732064"/>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625929</xdr:colOff>
      <xdr:row>65</xdr:row>
      <xdr:rowOff>27213</xdr:rowOff>
    </xdr:from>
    <xdr:to>
      <xdr:col>6</xdr:col>
      <xdr:colOff>1129393</xdr:colOff>
      <xdr:row>133</xdr:row>
      <xdr:rowOff>27214</xdr:rowOff>
    </xdr:to>
    <xdr:sp macro="" textlink="">
      <xdr:nvSpPr>
        <xdr:cNvPr id="2" name="テキスト ボックス 1">
          <a:extLst>
            <a:ext uri="{FF2B5EF4-FFF2-40B4-BE49-F238E27FC236}">
              <a16:creationId xmlns:a16="http://schemas.microsoft.com/office/drawing/2014/main" xmlns="" id="{00000000-0008-0000-0800-000004000000}"/>
            </a:ext>
          </a:extLst>
        </xdr:cNvPr>
        <xdr:cNvSpPr txBox="1"/>
      </xdr:nvSpPr>
      <xdr:spPr>
        <a:xfrm>
          <a:off x="6083754" y="10828563"/>
          <a:ext cx="0" cy="11144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1589313</xdr:colOff>
      <xdr:row>60</xdr:row>
      <xdr:rowOff>50349</xdr:rowOff>
    </xdr:from>
    <xdr:to>
      <xdr:col>6</xdr:col>
      <xdr:colOff>498019</xdr:colOff>
      <xdr:row>64</xdr:row>
      <xdr:rowOff>74841</xdr:rowOff>
    </xdr:to>
    <xdr:sp macro="" textlink="">
      <xdr:nvSpPr>
        <xdr:cNvPr id="3" name="角丸四角形 2"/>
        <xdr:cNvSpPr>
          <a:spLocks noChangeArrowheads="1"/>
        </xdr:cNvSpPr>
      </xdr:nvSpPr>
      <xdr:spPr bwMode="auto">
        <a:xfrm>
          <a:off x="5208813" y="9994449"/>
          <a:ext cx="756556" cy="7102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1687285</xdr:colOff>
      <xdr:row>0</xdr:row>
      <xdr:rowOff>161925</xdr:rowOff>
    </xdr:from>
    <xdr:to>
      <xdr:col>8</xdr:col>
      <xdr:colOff>68036</xdr:colOff>
      <xdr:row>2</xdr:row>
      <xdr:rowOff>44618</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5089071" y="161925"/>
          <a:ext cx="1442358" cy="6583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b="1"/>
            <a:t>女子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1589313</xdr:colOff>
      <xdr:row>58</xdr:row>
      <xdr:rowOff>50349</xdr:rowOff>
    </xdr:from>
    <xdr:to>
      <xdr:col>6</xdr:col>
      <xdr:colOff>498019</xdr:colOff>
      <xdr:row>62</xdr:row>
      <xdr:rowOff>74841</xdr:rowOff>
    </xdr:to>
    <xdr:sp macro="" textlink="">
      <xdr:nvSpPr>
        <xdr:cNvPr id="2" name="角丸四角形 2"/>
        <xdr:cNvSpPr>
          <a:spLocks noChangeArrowheads="1"/>
        </xdr:cNvSpPr>
      </xdr:nvSpPr>
      <xdr:spPr bwMode="auto">
        <a:xfrm>
          <a:off x="5208813" y="9994449"/>
          <a:ext cx="756556" cy="7102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twoCellAnchor>
    <xdr:from>
      <xdr:col>6</xdr:col>
      <xdr:colOff>625929</xdr:colOff>
      <xdr:row>63</xdr:row>
      <xdr:rowOff>27213</xdr:rowOff>
    </xdr:from>
    <xdr:to>
      <xdr:col>6</xdr:col>
      <xdr:colOff>1129393</xdr:colOff>
      <xdr:row>129</xdr:row>
      <xdr:rowOff>27214</xdr:rowOff>
    </xdr:to>
    <xdr:sp macro="" textlink="">
      <xdr:nvSpPr>
        <xdr:cNvPr id="3" name="テキスト ボックス 2">
          <a:extLst>
            <a:ext uri="{FF2B5EF4-FFF2-40B4-BE49-F238E27FC236}">
              <a16:creationId xmlns:a16="http://schemas.microsoft.com/office/drawing/2014/main" xmlns="" id="{00000000-0008-0000-0800-000004000000}"/>
            </a:ext>
          </a:extLst>
        </xdr:cNvPr>
        <xdr:cNvSpPr txBox="1"/>
      </xdr:nvSpPr>
      <xdr:spPr>
        <a:xfrm>
          <a:off x="6083754" y="10828563"/>
          <a:ext cx="0" cy="11144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1589313</xdr:colOff>
      <xdr:row>58</xdr:row>
      <xdr:rowOff>50349</xdr:rowOff>
    </xdr:from>
    <xdr:to>
      <xdr:col>6</xdr:col>
      <xdr:colOff>498019</xdr:colOff>
      <xdr:row>62</xdr:row>
      <xdr:rowOff>74841</xdr:rowOff>
    </xdr:to>
    <xdr:sp macro="" textlink="">
      <xdr:nvSpPr>
        <xdr:cNvPr id="2" name="角丸四角形 2"/>
        <xdr:cNvSpPr>
          <a:spLocks noChangeArrowheads="1"/>
        </xdr:cNvSpPr>
      </xdr:nvSpPr>
      <xdr:spPr bwMode="auto">
        <a:xfrm>
          <a:off x="5208813" y="968964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twoCellAnchor>
    <xdr:from>
      <xdr:col>6</xdr:col>
      <xdr:colOff>625929</xdr:colOff>
      <xdr:row>63</xdr:row>
      <xdr:rowOff>27213</xdr:rowOff>
    </xdr:from>
    <xdr:to>
      <xdr:col>6</xdr:col>
      <xdr:colOff>1129393</xdr:colOff>
      <xdr:row>129</xdr:row>
      <xdr:rowOff>27214</xdr:rowOff>
    </xdr:to>
    <xdr:sp macro="" textlink="">
      <xdr:nvSpPr>
        <xdr:cNvPr id="3" name="テキスト ボックス 2">
          <a:extLst>
            <a:ext uri="{FF2B5EF4-FFF2-40B4-BE49-F238E27FC236}">
              <a16:creationId xmlns:a16="http://schemas.microsoft.com/office/drawing/2014/main" xmlns="" id="{00000000-0008-0000-0800-000004000000}"/>
            </a:ext>
          </a:extLst>
        </xdr:cNvPr>
        <xdr:cNvSpPr txBox="1"/>
      </xdr:nvSpPr>
      <xdr:spPr>
        <a:xfrm>
          <a:off x="6083754" y="10476138"/>
          <a:ext cx="0" cy="10934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1589313</xdr:colOff>
      <xdr:row>58</xdr:row>
      <xdr:rowOff>50349</xdr:rowOff>
    </xdr:from>
    <xdr:to>
      <xdr:col>6</xdr:col>
      <xdr:colOff>498019</xdr:colOff>
      <xdr:row>62</xdr:row>
      <xdr:rowOff>74841</xdr:rowOff>
    </xdr:to>
    <xdr:sp macro="" textlink="">
      <xdr:nvSpPr>
        <xdr:cNvPr id="2" name="角丸四角形 2"/>
        <xdr:cNvSpPr>
          <a:spLocks noChangeArrowheads="1"/>
        </xdr:cNvSpPr>
      </xdr:nvSpPr>
      <xdr:spPr bwMode="auto">
        <a:xfrm>
          <a:off x="5208813" y="9927774"/>
          <a:ext cx="756556" cy="7102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1589313</xdr:colOff>
      <xdr:row>58</xdr:row>
      <xdr:rowOff>50349</xdr:rowOff>
    </xdr:from>
    <xdr:to>
      <xdr:col>6</xdr:col>
      <xdr:colOff>498019</xdr:colOff>
      <xdr:row>62</xdr:row>
      <xdr:rowOff>74841</xdr:rowOff>
    </xdr:to>
    <xdr:sp macro="" textlink="">
      <xdr:nvSpPr>
        <xdr:cNvPr id="2" name="角丸四角形 2"/>
        <xdr:cNvSpPr>
          <a:spLocks noChangeArrowheads="1"/>
        </xdr:cNvSpPr>
      </xdr:nvSpPr>
      <xdr:spPr bwMode="auto">
        <a:xfrm>
          <a:off x="5208813" y="9689649"/>
          <a:ext cx="756556" cy="672192"/>
        </a:xfrm>
        <a:prstGeom prst="roundRect">
          <a:avLst>
            <a:gd name="adj" fmla="val 16667"/>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Century"/>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校長印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mailto:gunkyumi@yahoo.co.jp?subject=&#22823;&#20250;&#30003;&#36796;" TargetMode="External"/><Relationship Id="rId1" Type="http://schemas.openxmlformats.org/officeDocument/2006/relationships/hyperlink" Target="mailto:gunkyumi@yahoo.co.jp?subject=&#22823;&#20250;&#30003;&#36796;" TargetMode="External"/><Relationship Id="rId4"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gunkyumi@yahoo.co.jp?subject=&#22823;&#20250;&#30003;&#36796;" TargetMode="External"/><Relationship Id="rId1" Type="http://schemas.openxmlformats.org/officeDocument/2006/relationships/hyperlink" Target="mailto:gunkyumi@yahoo.co.jp?subject=&#22823;&#20250;&#30003;&#36796;" TargetMode="External"/><Relationship Id="rId4" Type="http://schemas.openxmlformats.org/officeDocument/2006/relationships/drawing" Target="../drawings/drawing17.x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3.bin"/><Relationship Id="rId1" Type="http://schemas.openxmlformats.org/officeDocument/2006/relationships/hyperlink" Target="mailto:gunkyumi@yahoo.co.jp?subject=&#22823;&#20250;&#30003;&#36796;"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4.bin"/><Relationship Id="rId1" Type="http://schemas.openxmlformats.org/officeDocument/2006/relationships/hyperlink" Target="mailto:gunkyumi@yahoo.co.jp?subject=&#22823;&#20250;&#30003;&#36796;"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mailto:gunkyumi@yahoo.co.jp?subject=&#22823;&#20250;&#30003;&#36796;"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gunkyumi@yahoo.co.jp?subject=&#22823;&#20250;&#30003;&#36796;"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mailto:gunkyumi@yahoo.co.jp?subject=&#22823;&#20250;&#30003;&#36796;"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mailto:gunkyumi@yahoo.co.jp?subject=&#22823;&#20250;&#30003;&#36796;"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mailto:gunkyumi@yahoo.co.jp?subject=&#22823;&#20250;&#30003;&#36796;" TargetMode="Externa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30.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hyperlink" Target="mailto:gunkyumi@yahoo.co.jp?subject=&#22823;&#20250;&#30003;&#36796;"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mailto:gunkyumi@yahoo.co.jp?subject=&#22823;&#20250;&#30003;&#3679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D141"/>
  <sheetViews>
    <sheetView tabSelected="1" zoomScaleNormal="100" workbookViewId="0">
      <selection sqref="A1:D2"/>
    </sheetView>
  </sheetViews>
  <sheetFormatPr defaultColWidth="9" defaultRowHeight="15" customHeight="1"/>
  <cols>
    <col min="1" max="1" width="0.75" style="14" customWidth="1"/>
    <col min="2" max="2" width="3.125" style="68" customWidth="1"/>
    <col min="3" max="3" width="92.5" style="10" customWidth="1"/>
    <col min="4" max="4" width="0.625" style="10" customWidth="1"/>
    <col min="5" max="16384" width="9" style="10"/>
  </cols>
  <sheetData>
    <row r="1" spans="1:4" ht="15" customHeight="1">
      <c r="A1" s="356" t="s">
        <v>339</v>
      </c>
      <c r="B1" s="356"/>
      <c r="C1" s="356"/>
      <c r="D1" s="356"/>
    </row>
    <row r="2" spans="1:4" ht="15" customHeight="1">
      <c r="A2" s="356"/>
      <c r="B2" s="356"/>
      <c r="C2" s="356"/>
      <c r="D2" s="356"/>
    </row>
    <row r="3" spans="1:4" ht="17.25">
      <c r="A3" s="357" t="s">
        <v>310</v>
      </c>
      <c r="B3" s="357"/>
      <c r="C3" s="357"/>
      <c r="D3" s="357"/>
    </row>
    <row r="4" spans="1:4" ht="15" customHeight="1">
      <c r="B4" s="68" t="s">
        <v>523</v>
      </c>
      <c r="C4" s="10" t="s">
        <v>522</v>
      </c>
    </row>
    <row r="5" spans="1:4" ht="15" customHeight="1">
      <c r="B5" s="68" t="s">
        <v>265</v>
      </c>
      <c r="C5" s="10" t="s">
        <v>521</v>
      </c>
    </row>
    <row r="6" spans="1:4" ht="15" customHeight="1">
      <c r="B6" s="68" t="s">
        <v>524</v>
      </c>
      <c r="C6" s="10" t="s">
        <v>525</v>
      </c>
    </row>
    <row r="7" spans="1:4" s="13" customFormat="1" ht="15" customHeight="1">
      <c r="A7" s="14"/>
      <c r="B7" s="68"/>
      <c r="C7" s="10" t="s">
        <v>355</v>
      </c>
      <c r="D7" s="10"/>
    </row>
    <row r="8" spans="1:4" s="13" customFormat="1" ht="15" customHeight="1">
      <c r="A8" s="14"/>
      <c r="B8" s="68"/>
      <c r="C8" s="10" t="s">
        <v>404</v>
      </c>
      <c r="D8" s="10"/>
    </row>
    <row r="10" spans="1:4" s="13" customFormat="1" ht="15" customHeight="1">
      <c r="A10" s="14"/>
      <c r="B10" s="68"/>
      <c r="C10" s="10"/>
      <c r="D10" s="10"/>
    </row>
    <row r="11" spans="1:4" s="13" customFormat="1" ht="4.5" customHeight="1">
      <c r="A11" s="14"/>
      <c r="B11" s="68"/>
      <c r="C11" s="10"/>
      <c r="D11" s="10"/>
    </row>
    <row r="12" spans="1:4" s="13" customFormat="1" ht="17.25">
      <c r="A12" s="357" t="s">
        <v>312</v>
      </c>
      <c r="B12" s="357"/>
      <c r="C12" s="357"/>
      <c r="D12" s="357"/>
    </row>
    <row r="13" spans="1:4" ht="15" customHeight="1">
      <c r="A13" s="68"/>
      <c r="B13" s="68" t="s">
        <v>264</v>
      </c>
      <c r="C13" s="10" t="s">
        <v>356</v>
      </c>
    </row>
    <row r="14" spans="1:4" ht="15" customHeight="1">
      <c r="A14" s="68"/>
      <c r="B14" s="68" t="s">
        <v>265</v>
      </c>
      <c r="C14" s="10" t="s">
        <v>213</v>
      </c>
    </row>
    <row r="15" spans="1:4" ht="15" customHeight="1">
      <c r="A15" s="68"/>
      <c r="B15" s="68" t="s">
        <v>333</v>
      </c>
      <c r="C15" s="10" t="s">
        <v>214</v>
      </c>
    </row>
    <row r="16" spans="1:4" ht="15" customHeight="1">
      <c r="A16" s="68"/>
      <c r="C16" s="10" t="s">
        <v>211</v>
      </c>
    </row>
    <row r="17" spans="1:3" ht="15" customHeight="1">
      <c r="A17" s="68"/>
      <c r="C17" s="10" t="s">
        <v>212</v>
      </c>
    </row>
    <row r="18" spans="1:3" ht="15" customHeight="1">
      <c r="A18" s="68"/>
      <c r="C18" s="10" t="s">
        <v>215</v>
      </c>
    </row>
    <row r="19" spans="1:3" ht="15" customHeight="1">
      <c r="A19" s="68"/>
      <c r="B19" s="68" t="s">
        <v>334</v>
      </c>
      <c r="C19" s="10" t="s">
        <v>216</v>
      </c>
    </row>
    <row r="20" spans="1:3" ht="15" customHeight="1">
      <c r="A20" s="68"/>
      <c r="C20" s="10" t="s">
        <v>271</v>
      </c>
    </row>
    <row r="21" spans="1:3" ht="15" customHeight="1">
      <c r="A21" s="68"/>
      <c r="B21" s="68" t="s">
        <v>268</v>
      </c>
      <c r="C21" s="10" t="s">
        <v>217</v>
      </c>
    </row>
    <row r="22" spans="1:3" ht="15" customHeight="1">
      <c r="A22" s="68"/>
      <c r="C22" s="10" t="s">
        <v>271</v>
      </c>
    </row>
    <row r="23" spans="1:3" ht="15" customHeight="1">
      <c r="A23" s="68"/>
      <c r="B23" s="68" t="s">
        <v>269</v>
      </c>
      <c r="C23" s="10" t="s">
        <v>218</v>
      </c>
    </row>
    <row r="24" spans="1:3" ht="15" customHeight="1">
      <c r="A24" s="68"/>
      <c r="B24" s="68" t="s">
        <v>270</v>
      </c>
      <c r="C24" s="10" t="s">
        <v>219</v>
      </c>
    </row>
    <row r="25" spans="1:3" ht="15" customHeight="1">
      <c r="A25" s="68"/>
      <c r="B25" s="68" t="s">
        <v>272</v>
      </c>
      <c r="C25" s="10" t="s">
        <v>220</v>
      </c>
    </row>
    <row r="26" spans="1:3" ht="15" customHeight="1">
      <c r="A26" s="68"/>
      <c r="C26" s="10" t="s">
        <v>274</v>
      </c>
    </row>
    <row r="27" spans="1:3" ht="15" customHeight="1">
      <c r="A27" s="68"/>
      <c r="B27" s="68" t="s">
        <v>273</v>
      </c>
      <c r="C27" s="10" t="s">
        <v>221</v>
      </c>
    </row>
    <row r="28" spans="1:3" ht="15" customHeight="1">
      <c r="A28" s="68"/>
      <c r="C28" s="10" t="s">
        <v>539</v>
      </c>
    </row>
    <row r="29" spans="1:3" ht="15" customHeight="1">
      <c r="A29" s="68"/>
      <c r="C29" s="10" t="s">
        <v>307</v>
      </c>
    </row>
    <row r="30" spans="1:3" ht="15" customHeight="1">
      <c r="A30" s="68"/>
      <c r="B30" s="68" t="s">
        <v>335</v>
      </c>
      <c r="C30" s="10" t="s">
        <v>222</v>
      </c>
    </row>
    <row r="31" spans="1:3" ht="15" customHeight="1">
      <c r="A31" s="68"/>
      <c r="B31" s="68" t="s">
        <v>311</v>
      </c>
      <c r="C31" s="10" t="s">
        <v>223</v>
      </c>
    </row>
    <row r="32" spans="1:3" ht="15" customHeight="1">
      <c r="A32" s="68"/>
      <c r="B32" s="68" t="s">
        <v>336</v>
      </c>
      <c r="C32" s="10" t="s">
        <v>224</v>
      </c>
    </row>
    <row r="33" spans="1:4" ht="15" customHeight="1">
      <c r="A33" s="68"/>
      <c r="C33" s="10" t="s">
        <v>275</v>
      </c>
    </row>
    <row r="34" spans="1:4" ht="15" customHeight="1">
      <c r="A34" s="68"/>
      <c r="B34" s="68" t="s">
        <v>337</v>
      </c>
      <c r="C34" s="10" t="s">
        <v>225</v>
      </c>
    </row>
    <row r="35" spans="1:4" ht="15" customHeight="1">
      <c r="A35" s="68"/>
    </row>
    <row r="36" spans="1:4" s="13" customFormat="1" ht="17.25">
      <c r="A36" s="357" t="s">
        <v>313</v>
      </c>
      <c r="B36" s="357"/>
      <c r="C36" s="357"/>
      <c r="D36" s="357"/>
    </row>
    <row r="37" spans="1:4" ht="15" customHeight="1">
      <c r="A37" s="68"/>
      <c r="B37" s="68" t="s">
        <v>264</v>
      </c>
      <c r="C37" s="10" t="s">
        <v>306</v>
      </c>
    </row>
    <row r="38" spans="1:4" ht="15" customHeight="1">
      <c r="A38" s="68"/>
      <c r="B38" s="68" t="s">
        <v>265</v>
      </c>
      <c r="C38" s="10" t="s">
        <v>35</v>
      </c>
    </row>
    <row r="39" spans="1:4" ht="15" customHeight="1">
      <c r="A39" s="68"/>
      <c r="B39" s="68" t="s">
        <v>266</v>
      </c>
      <c r="C39" s="10" t="s">
        <v>226</v>
      </c>
    </row>
    <row r="40" spans="1:4" ht="15" customHeight="1">
      <c r="A40" s="68"/>
      <c r="B40" s="68" t="s">
        <v>267</v>
      </c>
      <c r="C40" s="10" t="s">
        <v>36</v>
      </c>
    </row>
    <row r="41" spans="1:4" ht="15" customHeight="1">
      <c r="A41" s="68"/>
      <c r="B41" s="68" t="s">
        <v>357</v>
      </c>
      <c r="C41" s="10" t="s">
        <v>358</v>
      </c>
    </row>
    <row r="42" spans="1:4" ht="15" customHeight="1">
      <c r="A42" s="11"/>
      <c r="B42" s="15"/>
      <c r="C42" s="12" t="s">
        <v>314</v>
      </c>
      <c r="D42" s="13"/>
    </row>
    <row r="43" spans="1:4" ht="15" customHeight="1">
      <c r="A43" s="11"/>
      <c r="B43" s="15"/>
      <c r="C43" s="12" t="s">
        <v>315</v>
      </c>
      <c r="D43" s="13"/>
    </row>
    <row r="44" spans="1:4" ht="15" customHeight="1">
      <c r="A44" s="11"/>
      <c r="B44" s="15" t="s">
        <v>357</v>
      </c>
      <c r="C44" s="12" t="s">
        <v>359</v>
      </c>
      <c r="D44" s="13"/>
    </row>
    <row r="45" spans="1:4" ht="15" customHeight="1">
      <c r="A45" s="11"/>
      <c r="B45" s="15"/>
      <c r="C45" s="12" t="s">
        <v>360</v>
      </c>
      <c r="D45" s="13"/>
    </row>
    <row r="46" spans="1:4" ht="15" customHeight="1">
      <c r="A46" s="11"/>
      <c r="B46" s="15"/>
      <c r="C46" s="12"/>
      <c r="D46" s="13"/>
    </row>
    <row r="47" spans="1:4" ht="15" customHeight="1">
      <c r="A47" s="68"/>
    </row>
    <row r="48" spans="1:4" s="13" customFormat="1" ht="17.25">
      <c r="A48" s="357" t="s">
        <v>340</v>
      </c>
      <c r="B48" s="357"/>
      <c r="C48" s="357"/>
      <c r="D48" s="357"/>
    </row>
    <row r="49" spans="1:3" ht="15" customHeight="1">
      <c r="A49" s="358" t="s">
        <v>316</v>
      </c>
      <c r="B49" s="358"/>
      <c r="C49" s="358"/>
    </row>
    <row r="50" spans="1:3" ht="15" customHeight="1">
      <c r="A50" s="355" t="s">
        <v>276</v>
      </c>
      <c r="B50" s="355"/>
      <c r="C50" s="40" t="s">
        <v>526</v>
      </c>
    </row>
    <row r="51" spans="1:3" ht="15" customHeight="1">
      <c r="A51" s="359"/>
      <c r="B51" s="359"/>
      <c r="C51" s="10" t="s">
        <v>230</v>
      </c>
    </row>
    <row r="52" spans="1:3" ht="15" customHeight="1">
      <c r="A52" s="68"/>
      <c r="C52" s="10" t="s">
        <v>228</v>
      </c>
    </row>
    <row r="53" spans="1:3" ht="15" customHeight="1">
      <c r="A53" s="68"/>
      <c r="C53" s="41" t="s">
        <v>278</v>
      </c>
    </row>
    <row r="54" spans="1:3" ht="15" customHeight="1">
      <c r="A54" s="355" t="s">
        <v>405</v>
      </c>
      <c r="B54" s="355"/>
      <c r="C54" s="40" t="s">
        <v>527</v>
      </c>
    </row>
    <row r="55" spans="1:3" ht="15" customHeight="1">
      <c r="A55" s="359"/>
      <c r="B55" s="359"/>
      <c r="C55" s="10" t="s">
        <v>229</v>
      </c>
    </row>
    <row r="56" spans="1:3" ht="15" customHeight="1">
      <c r="A56" s="68" t="s">
        <v>277</v>
      </c>
      <c r="C56" s="10" t="s">
        <v>343</v>
      </c>
    </row>
    <row r="57" spans="1:3" ht="15" customHeight="1">
      <c r="A57" s="68"/>
      <c r="C57" s="27" t="s">
        <v>317</v>
      </c>
    </row>
    <row r="58" spans="1:3" ht="15" customHeight="1">
      <c r="A58" s="355" t="s">
        <v>279</v>
      </c>
      <c r="B58" s="355"/>
      <c r="C58" s="40" t="s">
        <v>361</v>
      </c>
    </row>
    <row r="59" spans="1:3" ht="15" customHeight="1">
      <c r="A59" s="68"/>
      <c r="C59" s="10" t="s">
        <v>280</v>
      </c>
    </row>
    <row r="60" spans="1:3" ht="15" customHeight="1">
      <c r="C60" s="10" t="s">
        <v>281</v>
      </c>
    </row>
    <row r="61" spans="1:3" ht="15" customHeight="1">
      <c r="C61" s="10" t="s">
        <v>308</v>
      </c>
    </row>
    <row r="62" spans="1:3" ht="15" customHeight="1">
      <c r="A62" s="355" t="s">
        <v>282</v>
      </c>
      <c r="B62" s="355"/>
      <c r="C62" s="40" t="s">
        <v>362</v>
      </c>
    </row>
    <row r="63" spans="1:3" ht="15" customHeight="1">
      <c r="C63" s="10" t="s">
        <v>227</v>
      </c>
    </row>
    <row r="64" spans="1:3" ht="15" customHeight="1">
      <c r="C64" s="10" t="s">
        <v>231</v>
      </c>
    </row>
    <row r="66" spans="3:3" ht="15" customHeight="1">
      <c r="C66" s="20" t="s">
        <v>513</v>
      </c>
    </row>
    <row r="67" spans="3:3" ht="15" customHeight="1">
      <c r="C67" s="22" t="s">
        <v>512</v>
      </c>
    </row>
    <row r="68" spans="3:3" ht="15" customHeight="1">
      <c r="C68" s="22" t="s">
        <v>309</v>
      </c>
    </row>
    <row r="69" spans="3:3" ht="15" customHeight="1">
      <c r="C69" s="21" t="s">
        <v>318</v>
      </c>
    </row>
    <row r="71" spans="3:3" ht="15" customHeight="1">
      <c r="C71" s="40" t="s">
        <v>344</v>
      </c>
    </row>
    <row r="115" spans="1:3" ht="15" customHeight="1">
      <c r="A115" s="358" t="s">
        <v>283</v>
      </c>
      <c r="B115" s="358"/>
      <c r="C115" s="358"/>
    </row>
    <row r="116" spans="1:3" ht="15" customHeight="1">
      <c r="A116" s="355" t="s">
        <v>265</v>
      </c>
      <c r="B116" s="355" t="s">
        <v>265</v>
      </c>
      <c r="C116" s="40" t="s">
        <v>284</v>
      </c>
    </row>
    <row r="117" spans="1:3" ht="15" customHeight="1">
      <c r="C117" s="10" t="s">
        <v>338</v>
      </c>
    </row>
    <row r="118" spans="1:3" ht="15" customHeight="1">
      <c r="C118" s="10" t="s">
        <v>341</v>
      </c>
    </row>
    <row r="119" spans="1:3" ht="15" customHeight="1">
      <c r="C119" s="10" t="s">
        <v>342</v>
      </c>
    </row>
    <row r="120" spans="1:3" ht="15" customHeight="1">
      <c r="A120" s="355" t="s">
        <v>279</v>
      </c>
      <c r="B120" s="355" t="s">
        <v>279</v>
      </c>
      <c r="C120" s="40" t="s">
        <v>285</v>
      </c>
    </row>
    <row r="121" spans="1:3" ht="15" customHeight="1">
      <c r="C121" s="10" t="s">
        <v>286</v>
      </c>
    </row>
    <row r="122" spans="1:3" ht="15" customHeight="1">
      <c r="C122" s="10" t="s">
        <v>287</v>
      </c>
    </row>
    <row r="123" spans="1:3" ht="15" customHeight="1">
      <c r="C123" s="10" t="s">
        <v>288</v>
      </c>
    </row>
    <row r="124" spans="1:3" ht="15" customHeight="1">
      <c r="C124" s="10" t="s">
        <v>289</v>
      </c>
    </row>
    <row r="125" spans="1:3" ht="15" customHeight="1">
      <c r="C125" s="10" t="s">
        <v>290</v>
      </c>
    </row>
    <row r="126" spans="1:3" ht="15" customHeight="1">
      <c r="C126" s="10" t="s">
        <v>291</v>
      </c>
    </row>
    <row r="127" spans="1:3" ht="15" customHeight="1">
      <c r="C127" s="10" t="s">
        <v>292</v>
      </c>
    </row>
    <row r="128" spans="1:3" ht="15" customHeight="1">
      <c r="C128" s="10" t="s">
        <v>293</v>
      </c>
    </row>
    <row r="129" spans="1:3" ht="15" customHeight="1">
      <c r="C129" s="10" t="s">
        <v>294</v>
      </c>
    </row>
    <row r="130" spans="1:3" ht="15" customHeight="1">
      <c r="C130" s="10" t="s">
        <v>363</v>
      </c>
    </row>
    <row r="131" spans="1:3" ht="15" customHeight="1">
      <c r="C131" s="10" t="s">
        <v>295</v>
      </c>
    </row>
    <row r="132" spans="1:3" ht="15" customHeight="1">
      <c r="C132" s="10" t="s">
        <v>296</v>
      </c>
    </row>
    <row r="133" spans="1:3" ht="15" customHeight="1">
      <c r="C133" s="10" t="s">
        <v>297</v>
      </c>
    </row>
    <row r="134" spans="1:3" ht="15" customHeight="1">
      <c r="C134" s="10" t="s">
        <v>298</v>
      </c>
    </row>
    <row r="136" spans="1:3" ht="15" customHeight="1">
      <c r="A136" s="355" t="s">
        <v>299</v>
      </c>
      <c r="B136" s="355" t="s">
        <v>299</v>
      </c>
      <c r="C136" s="40" t="s">
        <v>300</v>
      </c>
    </row>
    <row r="137" spans="1:3" ht="15" customHeight="1">
      <c r="C137" s="10" t="s">
        <v>301</v>
      </c>
    </row>
    <row r="138" spans="1:3" ht="15" customHeight="1">
      <c r="C138" s="10" t="s">
        <v>302</v>
      </c>
    </row>
    <row r="139" spans="1:3" ht="15" customHeight="1">
      <c r="C139" s="10" t="s">
        <v>303</v>
      </c>
    </row>
    <row r="140" spans="1:3" ht="15" customHeight="1">
      <c r="C140" s="10" t="s">
        <v>304</v>
      </c>
    </row>
    <row r="141" spans="1:3" ht="15" customHeight="1">
      <c r="C141" s="10" t="s">
        <v>305</v>
      </c>
    </row>
  </sheetData>
  <sheetProtection password="CC71" sheet="1" objects="1" scenarios="1"/>
  <mergeCells count="16">
    <mergeCell ref="A62:B62"/>
    <mergeCell ref="A115:C115"/>
    <mergeCell ref="A116:B116"/>
    <mergeCell ref="A120:B120"/>
    <mergeCell ref="A136:B136"/>
    <mergeCell ref="A58:B58"/>
    <mergeCell ref="A1:D2"/>
    <mergeCell ref="A3:D3"/>
    <mergeCell ref="A12:D12"/>
    <mergeCell ref="A36:D36"/>
    <mergeCell ref="A48:D48"/>
    <mergeCell ref="A49:C49"/>
    <mergeCell ref="A50:B50"/>
    <mergeCell ref="A54:B54"/>
    <mergeCell ref="A51:B51"/>
    <mergeCell ref="A55:B55"/>
  </mergeCells>
  <phoneticPr fontId="2"/>
  <pageMargins left="0.39370078740157483" right="0.39370078740157483" top="0.39370078740157483" bottom="0.39370078740157483" header="0.19685039370078741" footer="0.1968503937007874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7"/>
  </sheetPr>
  <dimension ref="A1:M40"/>
  <sheetViews>
    <sheetView zoomScale="70" zoomScaleNormal="70" workbookViewId="0">
      <selection sqref="A1:I1"/>
    </sheetView>
  </sheetViews>
  <sheetFormatPr defaultColWidth="9" defaultRowHeight="13.5"/>
  <cols>
    <col min="1" max="3" width="7" style="75" customWidth="1"/>
    <col min="4" max="4" width="16.75" style="75" customWidth="1"/>
    <col min="5" max="5" width="7" style="75" customWidth="1"/>
    <col min="6" max="6" width="26.25" style="75" customWidth="1"/>
    <col min="7" max="7" width="7" style="75" customWidth="1"/>
    <col min="8" max="8" width="7" style="74" customWidth="1"/>
    <col min="9" max="9" width="7" style="75" customWidth="1"/>
    <col min="10" max="10" width="1.5" style="75" customWidth="1"/>
    <col min="11" max="11" width="8.5" style="75" customWidth="1"/>
    <col min="12" max="16384" width="9" style="75"/>
  </cols>
  <sheetData>
    <row r="1" spans="1:13" ht="33.75" customHeight="1">
      <c r="A1" s="434" t="s">
        <v>249</v>
      </c>
      <c r="B1" s="434"/>
      <c r="C1" s="434"/>
      <c r="D1" s="434"/>
      <c r="E1" s="434"/>
      <c r="F1" s="434"/>
      <c r="G1" s="434"/>
      <c r="H1" s="434"/>
      <c r="I1" s="434"/>
    </row>
    <row r="2" spans="1:13" ht="26.25" customHeight="1">
      <c r="A2" s="435" t="s">
        <v>244</v>
      </c>
      <c r="B2" s="435"/>
      <c r="C2" s="435"/>
      <c r="D2" s="435"/>
      <c r="E2" s="435"/>
      <c r="F2" s="435"/>
      <c r="G2" s="435"/>
      <c r="H2" s="435"/>
      <c r="I2" s="435"/>
    </row>
    <row r="5" spans="1:13" ht="29.25" customHeight="1">
      <c r="A5" s="436">
        <v>2</v>
      </c>
      <c r="B5" s="436"/>
      <c r="C5" s="436"/>
      <c r="D5" s="438" t="str">
        <f>日!B1&amp;"群馬県高等学校総合体育大会"</f>
        <v>令和元年度群馬県高等学校総合体育大会</v>
      </c>
      <c r="E5" s="439"/>
      <c r="F5" s="439"/>
      <c r="G5" s="439"/>
      <c r="H5" s="439"/>
      <c r="I5" s="440"/>
    </row>
    <row r="6" spans="1:13" ht="13.5" customHeight="1">
      <c r="B6" s="74"/>
      <c r="C6" s="74"/>
      <c r="D6" s="90"/>
      <c r="E6" s="90"/>
      <c r="F6" s="90"/>
      <c r="G6" s="90"/>
      <c r="L6" s="260" t="s">
        <v>252</v>
      </c>
      <c r="M6" s="260" t="s">
        <v>251</v>
      </c>
    </row>
    <row r="7" spans="1:13" ht="29.25" customHeight="1">
      <c r="A7" s="436" t="s">
        <v>11</v>
      </c>
      <c r="B7" s="436"/>
      <c r="C7" s="436"/>
      <c r="D7" s="437" t="str">
        <f>IF(L8="","",IF(LENB(L8)+LENB(M8)&gt;=14,L8&amp;M8,IF(LENB(M8)=8,IF(LENB(L8)&lt;=6,IF(LENB(L8)=2,L8&amp;"　　",IF(LENB(L8)=4,LEFT(L8,1)&amp;"　"&amp;RIGHT(L8,1),L8)),L8),IF(LENB(L8)&lt;=6,IF(LENB(L8)=2,L8&amp;"　　　",IF(LENB(L8)=4,LEFT(L8,1)&amp;"　"&amp;RIGHT(L8,1)&amp;"　",L8&amp;"　")),L8)))&amp;IF(L8="","",IF(LENB(L8)+LENB(M8)&gt;=14,"",IF(LENB(M8)=2,"　　"&amp;M8,IF(LENB(M8)=4,LEFT(M8,1)&amp;"　"&amp;RIGHT(M8,1),M8)))))</f>
        <v>○　○　○　○</v>
      </c>
      <c r="E7" s="437"/>
      <c r="F7" s="437"/>
      <c r="G7" s="437"/>
      <c r="H7" s="260" t="s">
        <v>205</v>
      </c>
      <c r="I7" s="67">
        <v>0</v>
      </c>
      <c r="L7" s="62" t="s">
        <v>540</v>
      </c>
      <c r="M7" s="62" t="s">
        <v>531</v>
      </c>
    </row>
    <row r="8" spans="1:13">
      <c r="B8" s="433" t="s">
        <v>234</v>
      </c>
      <c r="C8" s="433"/>
      <c r="D8" s="433"/>
      <c r="E8" s="433"/>
      <c r="F8" s="433"/>
      <c r="G8" s="433"/>
      <c r="H8" s="433"/>
      <c r="I8" s="433"/>
      <c r="L8" s="73" t="str">
        <f>SUBSTITUTE(SUBSTITUTE(L7," ",""),"　","")</f>
        <v>○○</v>
      </c>
      <c r="M8" s="73" t="str">
        <f>SUBSTITUTE(SUBSTITUTE(M7," ",""),"　","")</f>
        <v>○○</v>
      </c>
    </row>
    <row r="9" spans="1:13">
      <c r="B9" s="433" t="s">
        <v>233</v>
      </c>
      <c r="C9" s="433"/>
      <c r="D9" s="433"/>
      <c r="E9" s="433"/>
      <c r="F9" s="433"/>
      <c r="G9" s="433"/>
      <c r="H9" s="433"/>
      <c r="I9" s="433"/>
    </row>
    <row r="10" spans="1:13">
      <c r="B10" s="433" t="s">
        <v>514</v>
      </c>
      <c r="C10" s="433"/>
      <c r="D10" s="433"/>
      <c r="E10" s="433"/>
      <c r="F10" s="433"/>
      <c r="G10" s="433"/>
      <c r="H10" s="433"/>
      <c r="I10" s="433"/>
    </row>
    <row r="11" spans="1:13">
      <c r="B11" s="433" t="s">
        <v>515</v>
      </c>
      <c r="C11" s="433"/>
      <c r="D11" s="433"/>
      <c r="E11" s="433"/>
      <c r="F11" s="433"/>
      <c r="G11" s="433"/>
      <c r="H11" s="433"/>
      <c r="I11" s="433"/>
    </row>
    <row r="12" spans="1:13">
      <c r="B12" s="433" t="s">
        <v>516</v>
      </c>
      <c r="C12" s="433"/>
      <c r="D12" s="433"/>
      <c r="E12" s="433"/>
      <c r="F12" s="433"/>
      <c r="G12" s="433"/>
      <c r="H12" s="433"/>
      <c r="I12" s="433"/>
    </row>
    <row r="13" spans="1:13">
      <c r="B13" s="433" t="s">
        <v>517</v>
      </c>
      <c r="C13" s="433"/>
      <c r="D13" s="433"/>
      <c r="E13" s="433"/>
      <c r="F13" s="433"/>
      <c r="G13" s="433"/>
      <c r="H13" s="433"/>
      <c r="I13" s="433"/>
    </row>
    <row r="14" spans="1:13" ht="29.25" customHeight="1">
      <c r="B14" s="424" t="s">
        <v>245</v>
      </c>
      <c r="C14" s="425"/>
      <c r="D14" s="425"/>
      <c r="E14" s="425"/>
      <c r="F14" s="425"/>
      <c r="G14" s="425"/>
      <c r="H14" s="426"/>
    </row>
    <row r="15" spans="1:13" ht="18.75" customHeight="1">
      <c r="A15" s="260" t="s">
        <v>32</v>
      </c>
      <c r="B15" s="91" t="s">
        <v>246</v>
      </c>
      <c r="C15" s="92" t="s">
        <v>10</v>
      </c>
      <c r="D15" s="93" t="s">
        <v>33</v>
      </c>
      <c r="E15" s="94" t="s">
        <v>12</v>
      </c>
      <c r="F15" s="95" t="s">
        <v>13</v>
      </c>
      <c r="G15" s="92" t="s">
        <v>14</v>
      </c>
      <c r="H15" s="96" t="s">
        <v>236</v>
      </c>
      <c r="I15" s="73" t="s">
        <v>47</v>
      </c>
    </row>
    <row r="16" spans="1:13" ht="18.75" customHeight="1">
      <c r="A16" s="97" t="str">
        <f>IF($D$16="","",IF(COUNT($D$16:$D$19)=1,VLOOKUP(登!$D$1,立女!$A$4:$I$100,5,0)+100,VLOOKUP(登!$D$1,立女!$A$4:$I$100,5,0)))</f>
        <v/>
      </c>
      <c r="B16" s="98" t="s">
        <v>247</v>
      </c>
      <c r="C16" s="99" t="str">
        <f>IF(D16="","",登!$F$1)</f>
        <v/>
      </c>
      <c r="D16" s="36"/>
      <c r="E16" s="99">
        <v>1</v>
      </c>
      <c r="F16" s="100" t="str">
        <f>IF(D16="","",IF(INT(VALUE(RIGHT(D16,3))/100)=$A$5,VLOOKUP(D16,登!$B$4:$I$103,7,0),"部員番号入力ミス"))</f>
        <v/>
      </c>
      <c r="G16" s="101" t="str">
        <f>IF(D16="","",IF(INT(VALUE(RIGHT(D16,3))/100)=$A$5,IF(VLOOKUP(D16,登!$B$4:$I$103,2,0)=登!$B$1,1,IF(VLOOKUP(D16,登!$B$4:$I$103,2,0)=登!$B$1-1,2,IF(VLOOKUP(D16,登!$B$4:$I$103,2,0)=登!$B$1-2,3,"学年ミス"))),"番号ミス"))</f>
        <v/>
      </c>
      <c r="H16" s="102" t="str">
        <f>IF(D16="","",DATEDIF(VLOOKUP(D16,登!$B$4:$W$103,19,0),日!$F$5,"y"))</f>
        <v/>
      </c>
      <c r="I16" s="97" t="str">
        <f>IF(D16="","",IF(COUNTIF($D$16:$D$19,D16)+COUNTIF($D$28:$D$35,D16)&gt;1,"選手重複!!","OK"))</f>
        <v/>
      </c>
    </row>
    <row r="17" spans="1:9" ht="18.75" customHeight="1">
      <c r="A17" s="103" t="str">
        <f>IF($D$16="","",IF(COUNT($D$16:$D$19)=1,VLOOKUP(登!$D$1,立女!$A$4:$I$100,5,0)+100,VLOOKUP(登!$D$1,立女!$A$4:$I$100,5,0)))</f>
        <v/>
      </c>
      <c r="B17" s="104" t="s">
        <v>247</v>
      </c>
      <c r="C17" s="105" t="str">
        <f>IF(D17="","",登!$F$1)</f>
        <v/>
      </c>
      <c r="D17" s="37"/>
      <c r="E17" s="105">
        <v>2</v>
      </c>
      <c r="F17" s="106" t="str">
        <f>IF(D17="","",IF(COUNTIF($D$16:D17,"")&gt;0,"上から詰めて入力",IF(INT(VALUE(RIGHT(D17,3))/100)=$A$5,VLOOKUP(D17,登!$B$4:$I$103,7,0),"部員番号入力ミス")))</f>
        <v/>
      </c>
      <c r="G17" s="107" t="str">
        <f>IF(D17="","",IF(INT(VALUE(RIGHT(D17,3))/100)=$A$5,IF(VLOOKUP(D17,登!$B$4:$I$103,2,0)=登!$B$1,1,IF(VLOOKUP(D17,登!$B$4:$I$103,2,0)=登!$B$1-1,2,IF(VLOOKUP(D17,登!$B$4:$I$103,2,0)=登!$B$1-2,3,"学年ミス"))),"番号ミス"))</f>
        <v/>
      </c>
      <c r="H17" s="108" t="str">
        <f>IF(D17="","",DATEDIF(VLOOKUP(D17,登!$B$4:$W$103,19,0),日!$F$5,"y"))</f>
        <v/>
      </c>
      <c r="I17" s="103" t="str">
        <f>IF(D17="","",IF(COUNTIF($D$16:$D$19,D17)+COUNTIF($D$28:$D$35,D17)&gt;1,"選手重複!!","OK"))</f>
        <v/>
      </c>
    </row>
    <row r="18" spans="1:9" ht="18.75" customHeight="1">
      <c r="A18" s="103" t="str">
        <f>IF($D$16="","",IF(COUNT($D$16:$D$19)=1,VLOOKUP(登!$D$1,立女!$A$4:$I$100,5,0)+100,VLOOKUP(登!$D$1,立女!$A$4:$I$100,5,0)))</f>
        <v/>
      </c>
      <c r="B18" s="104" t="s">
        <v>247</v>
      </c>
      <c r="C18" s="105" t="str">
        <f>IF(D18="","",登!$F$1)</f>
        <v/>
      </c>
      <c r="D18" s="37"/>
      <c r="E18" s="105">
        <v>3</v>
      </c>
      <c r="F18" s="106" t="str">
        <f>IF(D18="","",IF(COUNTIF($D$16:D18,"")&gt;0,"上から詰めて入力",IF(INT(VALUE(RIGHT(D18,3))/100)=$A$5,VLOOKUP(D18,登!$B$4:$I$103,7,0),"部員番号入力ミス")))</f>
        <v/>
      </c>
      <c r="G18" s="107" t="str">
        <f>IF(D18="","",IF(INT(VALUE(RIGHT(D18,3))/100)=$A$5,IF(VLOOKUP(D18,登!$B$4:$I$103,2,0)=登!$B$1,1,IF(VLOOKUP(D18,登!$B$4:$I$103,2,0)=登!$B$1-1,2,IF(VLOOKUP(D18,登!$B$4:$I$103,2,0)=登!$B$1-2,3,"学年ミス"))),"番号ミス"))</f>
        <v/>
      </c>
      <c r="H18" s="108" t="str">
        <f>IF(D18="","",DATEDIF(VLOOKUP(D18,登!$B$4:$W$103,19,0),日!$F$5,"y"))</f>
        <v/>
      </c>
      <c r="I18" s="103" t="str">
        <f>IF(D18="","",IF(COUNTIF($D$16:$D$19,D18)+COUNTIF($D$28:$D$35,D18)&gt;1,"選手重複!!","OK"))</f>
        <v/>
      </c>
    </row>
    <row r="19" spans="1:9" ht="18.75" customHeight="1">
      <c r="A19" s="109" t="str">
        <f>IF($D$16="","",IF(COUNT($D$16:$D$19)=1,VLOOKUP(登!$D$1,立女!$A$4:$I$100,5,0)+100,VLOOKUP(登!$D$1,立女!$A$4:$I$100,5,0)))</f>
        <v/>
      </c>
      <c r="B19" s="110" t="s">
        <v>247</v>
      </c>
      <c r="C19" s="111" t="str">
        <f>IF(D19="","",登!$F$1)</f>
        <v/>
      </c>
      <c r="D19" s="38"/>
      <c r="E19" s="112">
        <v>4</v>
      </c>
      <c r="F19" s="113" t="str">
        <f>IF(D19="","",IF(COUNTIF($D$16:D19,"")&gt;0,"上から詰めて入力",IF(INT(VALUE(RIGHT(D19,3))/100)=$A$5,VLOOKUP(D19,登!$B$4:$I$103,7,0),"部員番号入力ミス")))</f>
        <v/>
      </c>
      <c r="G19" s="111" t="str">
        <f>IF(D19="","",IF(INT(VALUE(RIGHT(D19,3))/100)=$A$5,IF(VLOOKUP(D19,登!$B$4:$I$103,2,0)=登!$B$1,1,IF(VLOOKUP(D19,登!$B$4:$I$103,2,0)=登!$B$1-1,2,IF(VLOOKUP(D19,登!$B$4:$I$103,2,0)=登!$B$1-2,3,"学年ミス"))),"番号ミス"))</f>
        <v/>
      </c>
      <c r="H19" s="114" t="str">
        <f>IF(D19="","",DATEDIF(VLOOKUP(D19,登!$B$4:$W$103,19,0),日!$F$5,"y"))</f>
        <v/>
      </c>
      <c r="I19" s="115" t="str">
        <f>IF(D19="","",IF(COUNTIF($D$16:$D$19,D19)+COUNTIF($D$28:$D$35,D19)&gt;1,"選手重複!!","OK"))</f>
        <v/>
      </c>
    </row>
    <row r="20" spans="1:9">
      <c r="B20" s="116" t="s">
        <v>237</v>
      </c>
      <c r="C20" s="117"/>
      <c r="D20" s="117"/>
      <c r="E20" s="117"/>
      <c r="F20" s="117"/>
      <c r="G20" s="117"/>
      <c r="I20" s="74"/>
    </row>
    <row r="21" spans="1:9">
      <c r="B21" s="264"/>
      <c r="I21" s="74"/>
    </row>
    <row r="22" spans="1:9" ht="29.25" customHeight="1">
      <c r="B22" s="424" t="s">
        <v>248</v>
      </c>
      <c r="C22" s="425"/>
      <c r="D22" s="425"/>
      <c r="E22" s="425"/>
      <c r="F22" s="425"/>
      <c r="G22" s="425"/>
      <c r="H22" s="426"/>
      <c r="I22" s="74"/>
    </row>
    <row r="23" spans="1:9" ht="18.75" customHeight="1">
      <c r="A23" s="260" t="s">
        <v>32</v>
      </c>
      <c r="B23" s="91" t="s">
        <v>246</v>
      </c>
      <c r="C23" s="95" t="s">
        <v>10</v>
      </c>
      <c r="D23" s="93" t="s">
        <v>33</v>
      </c>
      <c r="E23" s="95" t="s">
        <v>12</v>
      </c>
      <c r="F23" s="95" t="s">
        <v>13</v>
      </c>
      <c r="G23" s="92" t="s">
        <v>14</v>
      </c>
      <c r="H23" s="96" t="s">
        <v>236</v>
      </c>
      <c r="I23" s="260" t="s">
        <v>47</v>
      </c>
    </row>
    <row r="24" spans="1:9" ht="18.75" customHeight="1">
      <c r="A24" s="97" t="str">
        <f>A16</f>
        <v/>
      </c>
      <c r="B24" s="98" t="s">
        <v>21</v>
      </c>
      <c r="C24" s="99" t="str">
        <f>IF(D24="","",登!$F$1)</f>
        <v/>
      </c>
      <c r="D24" s="118" t="str">
        <f>IF(D16="","",D16)</f>
        <v/>
      </c>
      <c r="E24" s="99">
        <v>1</v>
      </c>
      <c r="F24" s="100" t="str">
        <f t="shared" ref="F24:H27" si="0">IF(F16="","",F16)</f>
        <v/>
      </c>
      <c r="G24" s="101" t="str">
        <f t="shared" si="0"/>
        <v/>
      </c>
      <c r="H24" s="119" t="str">
        <f t="shared" si="0"/>
        <v/>
      </c>
      <c r="I24" s="120"/>
    </row>
    <row r="25" spans="1:9" ht="18.75" customHeight="1">
      <c r="A25" s="103" t="str">
        <f>A17</f>
        <v/>
      </c>
      <c r="B25" s="104" t="s">
        <v>21</v>
      </c>
      <c r="C25" s="105" t="str">
        <f>IF(D25="","",登!$F$1)</f>
        <v/>
      </c>
      <c r="D25" s="121" t="str">
        <f>IF(D17="","",D17)</f>
        <v/>
      </c>
      <c r="E25" s="105">
        <v>2</v>
      </c>
      <c r="F25" s="106" t="str">
        <f t="shared" si="0"/>
        <v/>
      </c>
      <c r="G25" s="107" t="str">
        <f t="shared" si="0"/>
        <v/>
      </c>
      <c r="H25" s="108" t="str">
        <f t="shared" si="0"/>
        <v/>
      </c>
      <c r="I25" s="122"/>
    </row>
    <row r="26" spans="1:9" ht="18.75" customHeight="1">
      <c r="A26" s="103" t="str">
        <f>A18</f>
        <v/>
      </c>
      <c r="B26" s="104" t="s">
        <v>21</v>
      </c>
      <c r="C26" s="105" t="str">
        <f>IF(D26="","",登!$F$1)</f>
        <v/>
      </c>
      <c r="D26" s="121" t="str">
        <f>IF(D18="","",D18)</f>
        <v/>
      </c>
      <c r="E26" s="105">
        <v>3</v>
      </c>
      <c r="F26" s="106" t="str">
        <f t="shared" si="0"/>
        <v/>
      </c>
      <c r="G26" s="107" t="str">
        <f t="shared" si="0"/>
        <v/>
      </c>
      <c r="H26" s="108" t="str">
        <f t="shared" si="0"/>
        <v/>
      </c>
      <c r="I26" s="122"/>
    </row>
    <row r="27" spans="1:9" ht="18.75" customHeight="1">
      <c r="A27" s="123" t="str">
        <f>IF(D27="","",VLOOKUP(登!$D$1,立女!$A$4:$I$100,5,0)+200)</f>
        <v/>
      </c>
      <c r="B27" s="124" t="s">
        <v>21</v>
      </c>
      <c r="C27" s="126" t="str">
        <f>IF(D27="","",登!$F$1)</f>
        <v/>
      </c>
      <c r="D27" s="138" t="str">
        <f>IF(D19="","",D19)</f>
        <v/>
      </c>
      <c r="E27" s="126">
        <v>4</v>
      </c>
      <c r="F27" s="127" t="str">
        <f t="shared" si="0"/>
        <v/>
      </c>
      <c r="G27" s="126" t="str">
        <f t="shared" si="0"/>
        <v/>
      </c>
      <c r="H27" s="128" t="str">
        <f t="shared" si="0"/>
        <v/>
      </c>
      <c r="I27" s="129"/>
    </row>
    <row r="28" spans="1:9" ht="18.75" customHeight="1">
      <c r="A28" s="97" t="str">
        <f>IF(D28="","",IF(COUNT($D$28:$D$30)=3,VLOOKUP(登!$D$1,立女!$A$4:$I$100,5,0)+1000,IF(COUNT($D$28:$D$30)=2,VLOOKUP(登!$D$1,立女!$A$4:$I$100,5,0)+1100,VLOOKUP(登!$D$1,立女!$A$4:$I$100,5,0)+1200)))</f>
        <v/>
      </c>
      <c r="B28" s="98" t="s">
        <v>21</v>
      </c>
      <c r="C28" s="99" t="str">
        <f>IF(D28="","",登!$F$1)</f>
        <v/>
      </c>
      <c r="D28" s="36"/>
      <c r="E28" s="99">
        <v>5</v>
      </c>
      <c r="F28" s="100" t="str">
        <f>IF(D28="","",IF(COUNTIF($D$16:$D$19,"")&gt;0,"団体から入力",IF(INT(VALUE(RIGHT(D28,3))/100)=$A$5,VLOOKUP(D28,登!$B$4:$I$103,7,0),"部員番号入力ミス")))</f>
        <v/>
      </c>
      <c r="G28" s="99" t="str">
        <f>IF(D28="","",IF(INT(VALUE(RIGHT(D28,3))/100)=$A$5,IF(VLOOKUP(D28,登!$B$4:$I$103,2,0)=登!$B$1,1,IF(VLOOKUP(D28,登!$B$4:$I$103,2,0)=登!$B$1-1,2,IF(VLOOKUP(D28,登!$B$4:$I$103,2,0)=登!$B$1-2,3,"学年ミス"))),"番号ミス"))</f>
        <v/>
      </c>
      <c r="H28" s="102" t="str">
        <f>IF(D28="","",DATEDIF(VLOOKUP(D28,登!$B$4:$W$103,19,0),日!$F$5,"y"))</f>
        <v/>
      </c>
      <c r="I28" s="97" t="str">
        <f>IF(D28="","",IF(COUNTIF($D$16:$D$19,D28)+COUNTIF($D$28:$D$35,D28)&gt;1,"選手重複!!","OK"))</f>
        <v/>
      </c>
    </row>
    <row r="29" spans="1:9" ht="18.75" customHeight="1">
      <c r="A29" s="103" t="str">
        <f>IF(D29="","",IF(COUNT($D$28:$D$30)=3,VLOOKUP(登!$D$1,立女!$A$4:$I$100,5,0)+1000,IF(COUNT($D$28:$D$30)=2,VLOOKUP(登!$D$1,立女!$A$4:$I$100,5,0)+1100,VLOOKUP(登!$D$1,立女!$A$4:$I$100,5,0)+1200)))</f>
        <v/>
      </c>
      <c r="B29" s="104" t="s">
        <v>21</v>
      </c>
      <c r="C29" s="105" t="str">
        <f>IF(D29="","",登!$F$1)</f>
        <v/>
      </c>
      <c r="D29" s="37"/>
      <c r="E29" s="105">
        <v>6</v>
      </c>
      <c r="F29" s="106" t="str">
        <f>IF(D29="","",IF(COUNTIF($D$16:$D$19,"")&gt;0,"団体から入力",IF(COUNTIF($D$28:D29,"")&gt;0,"上から詰めて入力",IF(INT(VALUE(RIGHT(D29,3))/100)=$A$5,VLOOKUP(D29,登!$B$4:$I$103,7,0),"部員番号入力ミス"))))</f>
        <v/>
      </c>
      <c r="G29" s="105" t="str">
        <f>IF(D29="","",IF(INT(VALUE(RIGHT(D29,3))/100)=$A$5,IF(VLOOKUP(D29,登!$B$4:$I$103,2,0)=登!$B$1,1,IF(VLOOKUP(D29,登!$B$4:$I$103,2,0)=登!$B$1-1,2,IF(VLOOKUP(D29,登!$B$4:$I$103,2,0)=登!$B$1-2,3,"学年ミス"))),"番号ミス"))</f>
        <v/>
      </c>
      <c r="H29" s="130" t="str">
        <f>IF(D29="","",DATEDIF(VLOOKUP(D29,登!$B$4:$W$103,19,0),日!$F$5,"y"))</f>
        <v/>
      </c>
      <c r="I29" s="130" t="str">
        <f t="shared" ref="I29:I35" si="1">IF(D29="","",IF(COUNTIF($D$16:$D$19,D29)+COUNTIF($D$28:$D$35,D29)&gt;1,"選手重複!!","OK"))</f>
        <v/>
      </c>
    </row>
    <row r="30" spans="1:9" ht="18.75" customHeight="1">
      <c r="A30" s="115" t="str">
        <f>IF(D30="","",IF(COUNT($D$28:$D$30)=3,VLOOKUP(登!$D$1,立女!$A$4:$I$100,5,0)+1000,IF(COUNT($D$28:$D$30)=2,VLOOKUP(登!$D$1,立女!$A$4:$I$100,5,0)+1100,VLOOKUP(登!$D$1,立女!$A$4:$I$100,5,0)+1200)))</f>
        <v/>
      </c>
      <c r="B30" s="131" t="s">
        <v>21</v>
      </c>
      <c r="C30" s="132" t="str">
        <f>IF(D30="","",登!$F$1)</f>
        <v/>
      </c>
      <c r="D30" s="38"/>
      <c r="E30" s="132">
        <v>7</v>
      </c>
      <c r="F30" s="133" t="str">
        <f>IF(D30="","",IF(COUNTIF($D$16:$D$19,"")&gt;0,"団体から入力",IF(COUNTIF($D$28:D30,"")&gt;0,"上から詰めて入力",IF(INT(VALUE(RIGHT(D30,3))/100)=$A$5,VLOOKUP(D30,登!$B$4:$I$103,7,0),"部員番号入力ミス"))))</f>
        <v/>
      </c>
      <c r="G30" s="132" t="str">
        <f>IF(D30="","",IF(INT(VALUE(RIGHT(D30,3))/100)=$A$5,IF(VLOOKUP(D30,登!$B$4:$I$103,2,0)=登!$B$1,1,IF(VLOOKUP(D30,登!$B$4:$I$103,2,0)=登!$B$1-1,2,IF(VLOOKUP(D30,登!$B$4:$I$103,2,0)=登!$B$1-2,3,"学年ミス"))),"番号ミス"))</f>
        <v/>
      </c>
      <c r="H30" s="134" t="str">
        <f>IF(D30="","",DATEDIF(VLOOKUP(D30,登!$B$4:$W$103,19,0),日!$F$5,"y"))</f>
        <v/>
      </c>
      <c r="I30" s="134" t="str">
        <f t="shared" si="1"/>
        <v/>
      </c>
    </row>
    <row r="31" spans="1:9" ht="18.75" customHeight="1">
      <c r="A31" s="97" t="str">
        <f>IF(D31="","",IF(COUNT($D$31:$D$33)=3,VLOOKUP(登!$D$1,立女!$A$4:$I$100,5,0)+2000,IF(COUNT($D$31:$D$33)=2,VLOOKUP(登!$D$1,立女!$A$4:$I$100,5,0)+2100,VLOOKUP(登!$D$1,立女!$A$4:$I$100,5,0)+2200)))</f>
        <v/>
      </c>
      <c r="B31" s="98" t="s">
        <v>21</v>
      </c>
      <c r="C31" s="99" t="str">
        <f>IF(D31="","",登!$F$1)</f>
        <v/>
      </c>
      <c r="D31" s="36"/>
      <c r="E31" s="99">
        <v>8</v>
      </c>
      <c r="F31" s="100" t="str">
        <f>IF(D31="","",IF(COUNTIF($D$16:$D$19,"")&gt;0,"団体から入力",IF(COUNTIF($D$28:D31,"")&gt;0,"上から詰めて入力",IF(INT(VALUE(RIGHT(D31,3))/100)=$A$5,VLOOKUP(D31,登!$B$4:$I$103,7,0),"部員番号入力ミス"))))</f>
        <v/>
      </c>
      <c r="G31" s="99" t="str">
        <f>IF(D31="","",IF(INT(VALUE(RIGHT(D31,3))/100)=$A$5,IF(VLOOKUP(D31,登!$B$4:$I$103,2,0)=登!$B$1,1,IF(VLOOKUP(D31,登!$B$4:$I$103,2,0)=登!$B$1-1,2,IF(VLOOKUP(D31,登!$B$4:$I$103,2,0)=登!$B$1-2,3,"学年ミス"))),"番号ミス"))</f>
        <v/>
      </c>
      <c r="H31" s="135" t="str">
        <f>IF(D31="","",DATEDIF(VLOOKUP(D31,登!$B$4:$W$103,19,0),日!$F$5,"y"))</f>
        <v/>
      </c>
      <c r="I31" s="135" t="str">
        <f t="shared" si="1"/>
        <v/>
      </c>
    </row>
    <row r="32" spans="1:9" ht="18.75" customHeight="1">
      <c r="A32" s="103" t="str">
        <f>IF(D32="","",IF(COUNT($D$31:$D$33)=3,VLOOKUP(登!$D$1,立女!$A$4:$I$100,5,0)+2000,IF(COUNT($D$31:$D$33)=2,VLOOKUP(登!$D$1,立女!$A$4:$I$100,5,0)+2100,VLOOKUP(登!$D$1,立女!$A$4:$I$100,5,0)+2200)))</f>
        <v/>
      </c>
      <c r="B32" s="104" t="s">
        <v>21</v>
      </c>
      <c r="C32" s="105" t="str">
        <f>IF(D32="","",登!$F$1)</f>
        <v/>
      </c>
      <c r="D32" s="37"/>
      <c r="E32" s="105">
        <v>9</v>
      </c>
      <c r="F32" s="106" t="str">
        <f>IF(D32="","",IF(COUNTIF($D$16:$D$19,"")&gt;0,"団体から入力",IF(COUNTIF($D$28:D32,"")&gt;0,"上から詰めて入力",IF(INT(VALUE(RIGHT(D32,3))/100)=$A$5,VLOOKUP(D32,登!$B$4:$I$103,7,0),"部員番号入力ミス"))))</f>
        <v/>
      </c>
      <c r="G32" s="105" t="str">
        <f>IF(D32="","",IF(INT(VALUE(RIGHT(D32,3))/100)=$A$5,IF(VLOOKUP(D32,登!$B$4:$I$103,2,0)=登!$B$1,1,IF(VLOOKUP(D32,登!$B$4:$I$103,2,0)=登!$B$1-1,2,IF(VLOOKUP(D32,登!$B$4:$I$103,2,0)=登!$B$1-2,3,"学年ミス"))),"番号ミス"))</f>
        <v/>
      </c>
      <c r="H32" s="130" t="str">
        <f>IF(D32="","",DATEDIF(VLOOKUP(D32,登!$B$4:$W$103,19,0),日!$F$5,"y"))</f>
        <v/>
      </c>
      <c r="I32" s="130" t="str">
        <f t="shared" si="1"/>
        <v/>
      </c>
    </row>
    <row r="33" spans="1:12" ht="18.75" customHeight="1">
      <c r="A33" s="115" t="str">
        <f>IF(D33="","",IF(COUNT($D$31:$D$33)=3,VLOOKUP(登!$D$1,立女!$A$4:$I$100,5,0)+2000,IF(COUNT($D$31:$D$33)=2,VLOOKUP(登!$D$1,立女!$A$4:$I$100,5,0)+2100,VLOOKUP(登!$D$1,立女!$A$4:$I$100,5,0)+2200)))</f>
        <v/>
      </c>
      <c r="B33" s="131" t="s">
        <v>21</v>
      </c>
      <c r="C33" s="132" t="str">
        <f>IF(D33="","",登!$F$1)</f>
        <v/>
      </c>
      <c r="D33" s="38"/>
      <c r="E33" s="132">
        <v>10</v>
      </c>
      <c r="F33" s="133" t="str">
        <f>IF(D33="","",IF(COUNTIF($D$16:$D$19,"")&gt;0,"団体から入力",IF(COUNTIF($D$28:D33,"")&gt;0,"上から詰めて入力",IF(INT(VALUE(RIGHT(D33,3))/100)=$A$5,VLOOKUP(D33,登!$B$4:$I$103,7,0),"部員番号入力ミス"))))</f>
        <v/>
      </c>
      <c r="G33" s="132" t="str">
        <f>IF(D33="","",IF(INT(VALUE(RIGHT(D33,3))/100)=$A$5,IF(VLOOKUP(D33,登!$B$4:$I$103,2,0)=登!$B$1,1,IF(VLOOKUP(D33,登!$B$4:$I$103,2,0)=登!$B$1-1,2,IF(VLOOKUP(D33,登!$B$4:$I$103,2,0)=登!$B$1-2,3,"学年ミス"))),"番号ミス"))</f>
        <v/>
      </c>
      <c r="H33" s="134" t="str">
        <f>IF(D33="","",DATEDIF(VLOOKUP(D33,登!$B$4:$W$103,19,0),日!$F$5,"y"))</f>
        <v/>
      </c>
      <c r="I33" s="134" t="str">
        <f t="shared" si="1"/>
        <v/>
      </c>
    </row>
    <row r="34" spans="1:12" ht="18.75" customHeight="1">
      <c r="A34" s="136" t="str">
        <f>IF(D34="","",IF(COUNT($D$34:$D$35)=2,VLOOKUP(登!$D$1,立女!$A$4:$I$100,5,0)+3000,VLOOKUP(登!$D$1,立女!$A$4:$I$100,5,0)+3100))</f>
        <v/>
      </c>
      <c r="B34" s="110" t="s">
        <v>21</v>
      </c>
      <c r="C34" s="112" t="str">
        <f>IF(D34="","",登!$F$1)</f>
        <v/>
      </c>
      <c r="D34" s="39"/>
      <c r="E34" s="112">
        <v>11</v>
      </c>
      <c r="F34" s="113" t="str">
        <f>IF(D34="","",IF(COUNTIF($D$16:$D$19,"")&gt;0,"団体から入力",IF(COUNTIF($D$28:D34,"")&gt;0,"上から詰めて入力",IF(INT(VALUE(RIGHT(D34,3))/100)=$A$5,VLOOKUP(D34,登!$B$4:$I$103,7,0),"部員番号入力ミス"))))</f>
        <v/>
      </c>
      <c r="G34" s="112" t="str">
        <f>IF(D34="","",IF(INT(VALUE(RIGHT(D34,3))/100)=$A$5,IF(VLOOKUP(D34,登!$B$4:$I$103,2,0)=登!$B$1,1,IF(VLOOKUP(D34,登!$B$4:$I$103,2,0)=登!$B$1-1,2,IF(VLOOKUP(D34,登!$B$4:$I$103,2,0)=登!$B$1-2,3,"学年ミス"))),"番号ミス"))</f>
        <v/>
      </c>
      <c r="H34" s="137" t="str">
        <f>IF(D34="","",DATEDIF(VLOOKUP(D34,登!$B$4:$W$103,19,0),日!$F$5,"y"))</f>
        <v/>
      </c>
      <c r="I34" s="137" t="str">
        <f t="shared" si="1"/>
        <v/>
      </c>
    </row>
    <row r="35" spans="1:12" ht="18.75" customHeight="1">
      <c r="A35" s="115" t="str">
        <f>IF(D35="","",IF(COUNT($D$34:$D$35)=2,VLOOKUP(登!$D$1,立女!$A$4:$I$100,5,0)+3000,VLOOKUP(登!$D$1,立女!$A$4:$I$100,5,0)+3100))</f>
        <v/>
      </c>
      <c r="B35" s="131" t="s">
        <v>21</v>
      </c>
      <c r="C35" s="132" t="str">
        <f>IF(D35="","",登!$F$1)</f>
        <v/>
      </c>
      <c r="D35" s="38"/>
      <c r="E35" s="132">
        <v>12</v>
      </c>
      <c r="F35" s="133" t="str">
        <f>IF(D35="","",IF(COUNTIF($D$16:$D$19,"")&gt;0,"団体から入力",IF(COUNTIF($D$28:D35,"")&gt;0,"上から詰めて入力",IF(INT(VALUE(RIGHT(D35,3))/100)=$A$5,VLOOKUP(D35,登!$B$4:$I$103,7,0),"部員番号入力ミス"))))</f>
        <v/>
      </c>
      <c r="G35" s="132" t="str">
        <f>IF(D35="","",IF(INT(VALUE(RIGHT(D35,3))/100)=$A$5,IF(VLOOKUP(D35,登!$B$4:$I$103,2,0)=登!$B$1,1,IF(VLOOKUP(D35,登!$B$4:$I$103,2,0)=登!$B$1-1,2,IF(VLOOKUP(D35,登!$B$4:$I$103,2,0)=登!$B$1-2,3,"学年ミス"))),"番号ミス"))</f>
        <v/>
      </c>
      <c r="H35" s="134" t="str">
        <f>IF(D35="","",DATEDIF(VLOOKUP(D35,登!$B$4:$W$103,19,0),日!$F$5,"y"))</f>
        <v/>
      </c>
      <c r="I35" s="134" t="str">
        <f t="shared" si="1"/>
        <v/>
      </c>
      <c r="L35" s="264"/>
    </row>
    <row r="36" spans="1:12">
      <c r="B36" s="116" t="s">
        <v>239</v>
      </c>
    </row>
    <row r="39" spans="1:12" ht="18.75" customHeight="1">
      <c r="A39" s="443" t="s">
        <v>240</v>
      </c>
      <c r="B39" s="444"/>
      <c r="C39" s="445"/>
      <c r="D39" s="443" t="s">
        <v>241</v>
      </c>
      <c r="E39" s="445"/>
      <c r="F39" s="443" t="s">
        <v>242</v>
      </c>
      <c r="G39" s="444"/>
      <c r="H39" s="445"/>
    </row>
    <row r="40" spans="1:12" ht="27" customHeight="1">
      <c r="A40" s="441"/>
      <c r="B40" s="442"/>
      <c r="C40" s="263" t="s">
        <v>243</v>
      </c>
      <c r="D40" s="436" t="str">
        <f>IF(COUNT($D$24:$D$35)=0,"　　　名",COUNT(D24:D35)&amp;"　名")</f>
        <v>　　　名</v>
      </c>
      <c r="E40" s="436"/>
      <c r="F40" s="442" t="s">
        <v>322</v>
      </c>
      <c r="G40" s="446"/>
      <c r="H40" s="447"/>
    </row>
  </sheetData>
  <sheetProtection password="CC71" sheet="1" objects="1" scenarios="1"/>
  <mergeCells count="20">
    <mergeCell ref="A40:B40"/>
    <mergeCell ref="D40:E40"/>
    <mergeCell ref="F40:H40"/>
    <mergeCell ref="B14:H14"/>
    <mergeCell ref="B22:H22"/>
    <mergeCell ref="A39:C39"/>
    <mergeCell ref="D39:E39"/>
    <mergeCell ref="F39:H39"/>
    <mergeCell ref="B13:I13"/>
    <mergeCell ref="A1:I1"/>
    <mergeCell ref="A2:I2"/>
    <mergeCell ref="A5:C5"/>
    <mergeCell ref="A7:C7"/>
    <mergeCell ref="D7:G7"/>
    <mergeCell ref="D5:I5"/>
    <mergeCell ref="B8:I8"/>
    <mergeCell ref="B9:I9"/>
    <mergeCell ref="B10:I10"/>
    <mergeCell ref="B11:I11"/>
    <mergeCell ref="B12:I12"/>
  </mergeCells>
  <phoneticPr fontId="2"/>
  <dataValidations count="1">
    <dataValidation type="list" allowBlank="1" showInputMessage="1" showErrorMessage="1" errorTitle="個数エラー" error="0～2を入力" sqref="I7">
      <formula1>"0,1,2"</formula1>
    </dataValidation>
  </dataValidations>
  <printOptions horizontalCentered="1"/>
  <pageMargins left="0.59055118110236215" right="0.59055118110236215" top="0.59055118110236215" bottom="0.59055118110236215" header="0.39370078740157483" footer="0.39370078740157483"/>
  <pageSetup paperSize="9" orientation="portrait" horizont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34"/>
  </sheetPr>
  <dimension ref="A2:L130"/>
  <sheetViews>
    <sheetView zoomScaleNormal="100" workbookViewId="0"/>
  </sheetViews>
  <sheetFormatPr defaultColWidth="9" defaultRowHeight="12.75"/>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9" width="4.25" style="143" customWidth="1"/>
    <col min="10" max="10" width="6.125" style="143" customWidth="1"/>
    <col min="11" max="16384" width="9" style="143"/>
  </cols>
  <sheetData>
    <row r="2" spans="1:12" ht="22.5" customHeight="1">
      <c r="A2" s="382" t="s">
        <v>518</v>
      </c>
      <c r="B2" s="252">
        <v>1</v>
      </c>
      <c r="C2" s="414" t="str">
        <f>日!B1&amp;"県高校弓道選手権大会（兼）全国高校総体弓道県予選会"</f>
        <v>令和元年度県高校弓道選手権大会（兼）全国高校総体弓道県予選会</v>
      </c>
      <c r="D2" s="414"/>
      <c r="E2" s="414"/>
      <c r="F2" s="414"/>
      <c r="G2" s="414"/>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541</v>
      </c>
    </row>
    <row r="5" spans="1:12" ht="12.75" customHeight="1">
      <c r="B5" s="144"/>
      <c r="C5" s="144"/>
      <c r="D5" s="145"/>
      <c r="E5" s="145"/>
      <c r="F5" s="145"/>
      <c r="G5" s="145"/>
      <c r="K5" s="253" t="str">
        <f>SUBSTITUTE(SUBSTITUTE(K4," ",""),"　","")</f>
        <v>○○</v>
      </c>
      <c r="L5" s="253" t="str">
        <f>SUBSTITUTE(SUBSTITUTE(L4," ",""),"　","")</f>
        <v>○○</v>
      </c>
    </row>
    <row r="6" spans="1:12" ht="12.75" customHeight="1">
      <c r="B6" s="411" t="s">
        <v>39</v>
      </c>
      <c r="C6" s="411"/>
      <c r="D6" s="427">
        <v>5</v>
      </c>
      <c r="E6" s="427"/>
      <c r="F6" s="427"/>
      <c r="G6" s="427"/>
      <c r="I6" s="147"/>
    </row>
    <row r="7" spans="1:12" ht="12.75" customHeight="1">
      <c r="B7" s="411" t="s">
        <v>40</v>
      </c>
      <c r="C7" s="411"/>
      <c r="D7" s="422">
        <f>VLOOKUP(D6,日!$B$2:$F$111,3,0)</f>
        <v>43622</v>
      </c>
      <c r="E7" s="423"/>
      <c r="F7" s="416" t="str">
        <f>TEXT(WEEKDAY(D7,1),"aaaa")&amp;"　１６時"</f>
        <v>木曜日　１６時</v>
      </c>
      <c r="G7" s="417"/>
      <c r="I7" s="147"/>
    </row>
    <row r="8" spans="1:12" ht="12.75" customHeight="1">
      <c r="B8" s="411" t="s">
        <v>38</v>
      </c>
      <c r="C8" s="411"/>
      <c r="D8" s="418">
        <f>VLOOKUP(D6,日!$B$2:$F$111,5,0)</f>
        <v>43631</v>
      </c>
      <c r="E8" s="419"/>
      <c r="F8" s="420" t="str">
        <f>TEXT(WEEKDAY(D8,1),"aaaa")</f>
        <v>土曜日</v>
      </c>
      <c r="G8" s="421"/>
      <c r="I8" s="147"/>
    </row>
    <row r="9" spans="1:12" ht="12.75" customHeight="1">
      <c r="B9" s="411" t="s">
        <v>41</v>
      </c>
      <c r="C9" s="411"/>
      <c r="D9" s="412" t="s">
        <v>45</v>
      </c>
      <c r="E9" s="413"/>
      <c r="F9" s="395" t="s">
        <v>46</v>
      </c>
      <c r="G9" s="396"/>
      <c r="I9" s="147"/>
    </row>
    <row r="10" spans="1:12" ht="12.75" customHeight="1">
      <c r="B10" s="147"/>
      <c r="C10" s="147"/>
      <c r="D10" s="146"/>
      <c r="E10" s="146"/>
      <c r="F10" s="146"/>
      <c r="G10" s="146"/>
      <c r="I10" s="147"/>
    </row>
    <row r="11" spans="1:12" ht="22.5" customHeight="1">
      <c r="B11" s="414" t="str">
        <f>IF(B2=1,"男　子　団　体　参　加　申　込　書","女　子　団　体　参　加　申　込　書")</f>
        <v>男　子　団　体　参　加　申　込　書</v>
      </c>
      <c r="C11" s="414"/>
      <c r="D11" s="414"/>
      <c r="E11" s="414"/>
      <c r="F11" s="414"/>
      <c r="G11" s="414"/>
    </row>
    <row r="12" spans="1:12" ht="12.75" customHeight="1">
      <c r="A12" s="252" t="s">
        <v>32</v>
      </c>
      <c r="B12" s="148" t="s">
        <v>22</v>
      </c>
      <c r="C12" s="149" t="s">
        <v>10</v>
      </c>
      <c r="D12" s="150" t="s">
        <v>33</v>
      </c>
      <c r="E12" s="151" t="s">
        <v>12</v>
      </c>
      <c r="F12" s="152" t="s">
        <v>13</v>
      </c>
      <c r="G12" s="153" t="s">
        <v>14</v>
      </c>
      <c r="H12" s="252" t="s">
        <v>47</v>
      </c>
    </row>
    <row r="13" spans="1:12" ht="12.75" customHeight="1">
      <c r="A13" s="154" t="str">
        <f>IF($B$2=1,IF($D$13="","",IF(COUNT($D$13:$D$18)=2,VLOOKUP(登!$D$1,立男!$A$4:$I$100,6,0)+100,IF(COUNT($D$13:$D$18)=1,VLOOKUP(登!$D$1,立男!$A$4:$I$100,6,0)+200,VLOOKUP(登!$D$1,立男!$A$4:$I$100,6,0)))),IF($D$13="","",IF(COUNT($D$13:$D$18)=2,VLOOKUP(登!$D$1,立女!$A$4:$I$100,6,0)+100,IF(COUNT($D$13:$D$18)=1,VLOOKUP(登!$D$1,立女!$A$4:$I$100,6,0)+200,VLOOKUP(登!$D$1,立女!$A$4:$I$100,6,0)))))</f>
        <v/>
      </c>
      <c r="B13" s="155" t="s">
        <v>16</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IF(D13="","",IF(COUNTIF($D$13:$D$18,D13)&gt;1,"選手重複!!","OK"))</f>
        <v/>
      </c>
    </row>
    <row r="14" spans="1:12" ht="12.75" customHeight="1">
      <c r="A14" s="160" t="str">
        <f>IF($B$2=1,IF($D$13="","",IF(COUNT($D$13:$D$18)=2,VLOOKUP(登!$D$1,立男!$A$4:$I$100,6,0)+100,IF(COUNT($D$13:$D$18)=1,VLOOKUP(登!$D$1,立男!$A$4:$I$100,6,0)+200,VLOOKUP(登!$D$1,立男!$A$4:$I$100,6,0)))),IF($D$13="","",IF(COUNT($D$13:$D$18)=2,VLOOKUP(登!$D$1,立女!$A$4:$I$100,6,0)+100,IF(COUNT($D$13:$D$18)=1,VLOOKUP(登!$D$1,立女!$A$4:$I$100,6,0)+200,VLOOKUP(登!$D$1,立女!$A$4:$I$100,6,0)))))</f>
        <v/>
      </c>
      <c r="B14" s="161" t="s">
        <v>16</v>
      </c>
      <c r="C14" s="186" t="str">
        <f>IF(D14="","",登!$F$1)</f>
        <v/>
      </c>
      <c r="D14" s="64"/>
      <c r="E14" s="186">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 t="shared" ref="H14:H18" si="0">IF(D14="","",IF(COUNTIF($D$13:$D$18,D14)&gt;1,"選手重複!!","OK"))</f>
        <v/>
      </c>
    </row>
    <row r="15" spans="1:12" ht="12.75" customHeight="1">
      <c r="A15" s="160" t="str">
        <f>IF($B$2=1,IF($D$13="","",IF(COUNT($D$13:$D$18)=2,VLOOKUP(登!$D$1,立男!$A$4:$I$100,6,0)+100,IF(COUNT($D$13:$D$18)=1,VLOOKUP(登!$D$1,立男!$A$4:$I$100,6,0)+200,VLOOKUP(登!$D$1,立男!$A$4:$I$100,6,0)))),IF($D$13="","",IF(COUNT($D$13:$D$18)=2,VLOOKUP(登!$D$1,立女!$A$4:$I$100,6,0)+100,IF(COUNT($D$13:$D$18)=1,VLOOKUP(登!$D$1,立女!$A$4:$I$100,6,0)+200,VLOOKUP(登!$D$1,立女!$A$4:$I$100,6,0)))))</f>
        <v/>
      </c>
      <c r="B15" s="161" t="s">
        <v>16</v>
      </c>
      <c r="C15" s="186" t="str">
        <f>IF(D15="","",登!$F$1)</f>
        <v/>
      </c>
      <c r="D15" s="64"/>
      <c r="E15" s="186">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5" t="str">
        <f t="shared" si="0"/>
        <v/>
      </c>
    </row>
    <row r="16" spans="1:12" ht="12.75" customHeight="1">
      <c r="A16" s="160" t="str">
        <f>IF($B$2=1,IF($D$13="","",IF(COUNT($D$13:$D$18)=2,VLOOKUP(登!$D$1,立男!$A$4:$I$100,6,0)+100,IF(COUNT($D$13:$D$18)=1,VLOOKUP(登!$D$1,立男!$A$4:$I$100,6,0)+200,VLOOKUP(登!$D$1,立男!$A$4:$I$100,6,0)))),IF($D$13="","",IF(COUNT($D$13:$D$18)=2,VLOOKUP(登!$D$1,立女!$A$4:$I$100,6,0)+100,IF(COUNT($D$13:$D$18)=1,VLOOKUP(登!$D$1,立女!$A$4:$I$100,6,0)+200,VLOOKUP(登!$D$1,立女!$A$4:$I$100,6,0)))))</f>
        <v/>
      </c>
      <c r="B16" s="161" t="s">
        <v>16</v>
      </c>
      <c r="C16" s="186" t="str">
        <f>IF(D16="","",登!$F$1)</f>
        <v/>
      </c>
      <c r="D16" s="64"/>
      <c r="E16" s="186">
        <v>4</v>
      </c>
      <c r="F16" s="164" t="str">
        <f>IF(D16="","",IF(COUNTIF($D$13:D16,"")&gt;0,"大前から詰めて入力",IF(INT(VALUE(RIGHT(D16,3))/100)=$B$2,VLOOKUP(D16,登!$B$4:$I$103,7,0),"部員番号入力ミス")))</f>
        <v/>
      </c>
      <c r="G16" s="165" t="str">
        <f>IF(D16="","",IF(INT(VALUE(RIGHT(D16,3))/100)=$B$2,IF(VLOOKUP(D16,登!$B$4:$I$103,2,0)=登!$B$1,1,IF(VLOOKUP(D16,登!$B$4:$I$103,2,0)=登!$B$1-1,2,IF(VLOOKUP(D16,登!$B$4:$I$103,2,0)=登!$B$1-2,3,"学年ミス"))),"番号ミス"))</f>
        <v/>
      </c>
      <c r="H16" s="165" t="str">
        <f t="shared" si="0"/>
        <v/>
      </c>
    </row>
    <row r="17" spans="1:8" ht="12.75" customHeight="1">
      <c r="A17" s="160" t="str">
        <f>IF($B$2=1,IF($D$13="","",IF(COUNT($D$13:$D$18)=2,VLOOKUP(登!$D$1,立男!$A$4:$I$100,6,0)+100,IF(COUNT($D$13:$D$18)=1,VLOOKUP(登!$D$1,立男!$A$4:$I$100,6,0)+200,VLOOKUP(登!$D$1,立男!$A$4:$I$100,6,0)))),IF($D$13="","",IF(COUNT($D$13:$D$18)=2,VLOOKUP(登!$D$1,立女!$A$4:$I$100,6,0)+100,IF(COUNT($D$13:$D$18)=1,VLOOKUP(登!$D$1,立女!$A$4:$I$100,6,0)+200,VLOOKUP(登!$D$1,立女!$A$4:$I$100,6,0)))))</f>
        <v/>
      </c>
      <c r="B17" s="161" t="s">
        <v>16</v>
      </c>
      <c r="C17" s="186" t="str">
        <f>IF(D17="","",登!$F$1)</f>
        <v/>
      </c>
      <c r="D17" s="64"/>
      <c r="E17" s="186">
        <v>5</v>
      </c>
      <c r="F17" s="164" t="str">
        <f>IF(D17="","",IF(COUNTIF($D$13:D17,"")&gt;0,"大前から詰めて入力",IF(INT(VALUE(RIGHT(D17,3))/100)=$B$2,VLOOKUP(D17,登!$B$4:$I$103,7,0),"部員番号入力ミス")))</f>
        <v/>
      </c>
      <c r="G17" s="165" t="str">
        <f>IF(D17="","",IF(INT(VALUE(RIGHT(D17,3))/100)=$B$2,IF(VLOOKUP(D17,登!$B$4:$I$103,2,0)=登!$B$1,1,IF(VLOOKUP(D17,登!$B$4:$I$103,2,0)=登!$B$1-1,2,IF(VLOOKUP(D17,登!$B$4:$I$103,2,0)=登!$B$1-2,3,"学年ミス"))),"番号ミス"))</f>
        <v/>
      </c>
      <c r="H17" s="165" t="str">
        <f t="shared" si="0"/>
        <v/>
      </c>
    </row>
    <row r="18" spans="1:8" ht="12.75" customHeight="1">
      <c r="A18" s="175" t="str">
        <f>IF($B$2=1,IF($D$13="","",IF(COUNT($D$13:$D$18)=2,VLOOKUP(登!$D$1,立男!$A$4:$I$100,6,0)+100,IF(COUNT($D$13:$D$18)=1,VLOOKUP(登!$D$1,立男!$A$4:$I$100,6,0)+200,VLOOKUP(登!$D$1,立男!$A$4:$I$100,6,0)))),IF($D$13="","",IF(COUNT($D$13:$D$18)=2,VLOOKUP(登!$D$1,立女!$A$4:$I$100,6,0)+100,IF(COUNT($D$13:$D$18)=1,VLOOKUP(登!$D$1,立女!$A$4:$I$100,6,0)+200,VLOOKUP(登!$D$1,立女!$A$4:$I$100,6,0)))))</f>
        <v/>
      </c>
      <c r="B18" s="176" t="s">
        <v>16</v>
      </c>
      <c r="C18" s="187" t="str">
        <f>IF(D18="","",登!$F$1)</f>
        <v/>
      </c>
      <c r="D18" s="66"/>
      <c r="E18" s="187">
        <v>6</v>
      </c>
      <c r="F18" s="188" t="str">
        <f>IF(D18="","",IF(COUNTIF($D$13:D18,"")&gt;0,"大前から詰めて入力",IF(INT(VALUE(RIGHT(D18,3))/100)=$B$2,VLOOKUP(D18,登!$B$4:$I$103,7,0),"部員番号入力ミス")))</f>
        <v/>
      </c>
      <c r="G18" s="181" t="str">
        <f>IF(D18="","",IF(INT(VALUE(RIGHT(D18,3))/100)=$B$2,IF(VLOOKUP(D18,登!$B$4:$I$103,2,0)=登!$B$1,1,IF(VLOOKUP(D18,登!$B$4:$I$103,2,0)=登!$B$1-1,2,IF(VLOOKUP(D18,登!$B$4:$I$103,2,0)=登!$B$1-2,3,"学年ミス"))),"番号ミス"))</f>
        <v/>
      </c>
      <c r="H18" s="181" t="str">
        <f t="shared" si="0"/>
        <v/>
      </c>
    </row>
    <row r="19" spans="1:8" ht="12.75" customHeight="1">
      <c r="A19" s="175" t="str">
        <f>IF($B$2=1,IF(D19="","",VLOOKUP(登!$D$1,立男!$A$4:$I$100,6,0)+1000),IF(D19="","",VLOOKUP(登!$D$1,立女!$A$4:$I$100,6,0)+1000))</f>
        <v/>
      </c>
      <c r="B19" s="176" t="s">
        <v>16</v>
      </c>
      <c r="C19" s="187" t="str">
        <f>IF(D19="","",登!$F$1)</f>
        <v/>
      </c>
      <c r="D19" s="178" t="str">
        <f>IF(D18="","",D18)</f>
        <v/>
      </c>
      <c r="E19" s="187">
        <v>6</v>
      </c>
      <c r="F19" s="180" t="str">
        <f>IF(F18="","",F18)</f>
        <v/>
      </c>
      <c r="G19" s="181" t="str">
        <f>IF(D19="","",IF(INT(VALUE(RIGHT(D19,3))/100)=$B$2,IF(VLOOKUP(D19,登!$B$4:$I$103,2,0)=登!$B$1,1,IF(VLOOKUP(D19,登!$B$4:$I$103,2,0)=登!$B$1-1,2,IF(VLOOKUP(D19,登!$B$4:$I$103,2,0)=登!$B$1-2,3,"学年ミス"))),"番号ミス"))</f>
        <v/>
      </c>
      <c r="H19" s="242"/>
    </row>
    <row r="20" spans="1:8" ht="12.75" customHeight="1">
      <c r="B20" s="183" t="s">
        <v>24</v>
      </c>
      <c r="C20" s="184"/>
      <c r="D20" s="184"/>
      <c r="E20" s="184"/>
      <c r="F20" s="184"/>
      <c r="G20" s="184"/>
    </row>
    <row r="21" spans="1:8" ht="12.75" customHeight="1">
      <c r="B21" s="147"/>
    </row>
    <row r="22" spans="1:8" ht="12.75" customHeight="1"/>
    <row r="23" spans="1:8" ht="12.75" customHeight="1"/>
    <row r="24" spans="1:8" ht="12.75" customHeight="1"/>
    <row r="25" spans="1:8" ht="12.75" customHeight="1"/>
    <row r="26" spans="1:8" ht="12.75" customHeight="1"/>
    <row r="27" spans="1:8" ht="12.75" customHeight="1"/>
    <row r="28" spans="1:8" ht="12.75" customHeight="1"/>
    <row r="29" spans="1:8" ht="12.75" customHeight="1"/>
    <row r="30" spans="1:8" ht="12.75" customHeight="1"/>
    <row r="31" spans="1:8" ht="12.75" customHeight="1"/>
    <row r="32" spans="1:8"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spans="1:9" ht="12.75" customHeight="1"/>
    <row r="50" spans="1:9" ht="12.75" customHeight="1"/>
    <row r="51" spans="1:9" ht="12.75" customHeight="1"/>
    <row r="52" spans="1:9" ht="12.75" customHeight="1"/>
    <row r="53" spans="1:9" ht="12.75" customHeight="1"/>
    <row r="54" spans="1:9" ht="12.75" customHeight="1"/>
    <row r="55" spans="1:9" ht="12.75" customHeight="1"/>
    <row r="56" spans="1:9" ht="12.75" customHeight="1"/>
    <row r="57" spans="1:9" ht="12.75" customHeight="1"/>
    <row r="58" spans="1:9" ht="12.75" customHeight="1">
      <c r="A58" s="410" t="s">
        <v>406</v>
      </c>
      <c r="B58" s="410"/>
      <c r="C58" s="410"/>
      <c r="D58" s="410"/>
      <c r="E58" s="407">
        <f>D7</f>
        <v>43622</v>
      </c>
      <c r="F58" s="408"/>
      <c r="G58" s="75"/>
      <c r="H58" s="75"/>
      <c r="I58" s="75"/>
    </row>
    <row r="59" spans="1:9" ht="12.75" customHeight="1">
      <c r="A59" s="255"/>
      <c r="B59" s="255"/>
      <c r="C59" s="255"/>
      <c r="D59" s="255"/>
      <c r="E59" s="189"/>
      <c r="F59" s="189"/>
      <c r="G59" s="75"/>
      <c r="H59" s="75"/>
      <c r="I59" s="75"/>
    </row>
    <row r="60" spans="1:9" ht="12.75" customHeight="1">
      <c r="A60" s="255"/>
      <c r="B60" s="255"/>
      <c r="C60" s="255"/>
      <c r="D60" s="255"/>
      <c r="E60" s="75"/>
      <c r="F60" s="75"/>
      <c r="G60" s="75"/>
      <c r="H60" s="75"/>
      <c r="I60" s="75"/>
    </row>
    <row r="61" spans="1:9" ht="12.75" customHeight="1">
      <c r="A61" s="189" t="s">
        <v>507</v>
      </c>
      <c r="B61" s="409" t="str">
        <f>IF(登!$D$1="",""," "&amp;VLOOKUP(登!$D$1,名!$G$2:$J$54,3,0))</f>
        <v/>
      </c>
      <c r="C61" s="409"/>
      <c r="D61" s="409"/>
      <c r="E61" s="189" t="s">
        <v>199</v>
      </c>
      <c r="F61" s="241" t="s">
        <v>529</v>
      </c>
      <c r="G61" s="254" t="s">
        <v>511</v>
      </c>
      <c r="H61" s="75"/>
      <c r="I61" s="75"/>
    </row>
    <row r="62" spans="1:9" ht="12.75" customHeight="1">
      <c r="A62" s="75"/>
      <c r="B62" s="75"/>
      <c r="C62" s="75"/>
      <c r="D62" s="75"/>
      <c r="E62" s="75"/>
      <c r="F62" s="75"/>
      <c r="G62" s="75"/>
      <c r="H62" s="74"/>
      <c r="I62" s="75"/>
    </row>
    <row r="63" spans="1:9" ht="12.75" customHeight="1">
      <c r="A63" s="75"/>
      <c r="B63" s="75"/>
      <c r="C63" s="75"/>
      <c r="D63" s="75"/>
      <c r="E63" s="75"/>
      <c r="F63" s="75"/>
      <c r="G63" s="75"/>
      <c r="H63" s="74"/>
      <c r="I63" s="75"/>
    </row>
    <row r="64" spans="1:9" ht="12.75" customHeight="1">
      <c r="A64" s="189" t="s">
        <v>510</v>
      </c>
      <c r="B64" s="409" t="str">
        <f>IF(登!$D$1="",""," "&amp;VLOOKUP(登!$D$1,名!$G$2:$J$54,4,0))</f>
        <v/>
      </c>
      <c r="C64" s="409"/>
      <c r="D64" s="409"/>
      <c r="E64" s="189" t="s">
        <v>509</v>
      </c>
      <c r="F64" s="241" t="s">
        <v>530</v>
      </c>
      <c r="G64" s="254" t="s">
        <v>511</v>
      </c>
      <c r="H64" s="74"/>
      <c r="I64" s="75"/>
    </row>
    <row r="65" spans="1:10" ht="12.75" customHeight="1">
      <c r="H65" s="143"/>
    </row>
    <row r="66" spans="1:10" ht="12.75" customHeight="1">
      <c r="H66" s="143"/>
    </row>
    <row r="67" spans="1:10" ht="22.5" customHeight="1">
      <c r="A67" s="191"/>
      <c r="B67" s="256">
        <f>B2</f>
        <v>1</v>
      </c>
      <c r="C67" s="398" t="str">
        <f>C2</f>
        <v>令和元年度県高校弓道選手権大会（兼）全国高校総体弓道県予選会</v>
      </c>
      <c r="D67" s="399"/>
      <c r="E67" s="399"/>
      <c r="F67" s="399"/>
      <c r="G67" s="400"/>
      <c r="H67" s="192"/>
      <c r="I67" s="191"/>
    </row>
    <row r="68" spans="1:10" ht="12.75" customHeight="1">
      <c r="A68" s="191"/>
      <c r="B68" s="193"/>
      <c r="C68" s="193"/>
      <c r="D68" s="194"/>
      <c r="E68" s="194"/>
      <c r="F68" s="194"/>
      <c r="G68" s="195"/>
      <c r="H68" s="192"/>
      <c r="I68" s="191"/>
    </row>
    <row r="69" spans="1:10" ht="12.75" customHeight="1">
      <c r="A69" s="191"/>
      <c r="B69" s="401" t="s">
        <v>11</v>
      </c>
      <c r="C69" s="401"/>
      <c r="D69" s="402" t="str">
        <f>D4</f>
        <v>○　○　○　○</v>
      </c>
      <c r="E69" s="403"/>
      <c r="F69" s="404"/>
      <c r="G69" s="405" t="s">
        <v>205</v>
      </c>
      <c r="H69" s="406"/>
      <c r="I69" s="196">
        <f>I4</f>
        <v>0</v>
      </c>
      <c r="J69" s="142"/>
    </row>
    <row r="70" spans="1:10" ht="12.75" customHeight="1">
      <c r="A70" s="191"/>
      <c r="B70" s="193"/>
      <c r="C70" s="193"/>
      <c r="D70" s="194"/>
      <c r="E70" s="194"/>
      <c r="F70" s="194"/>
      <c r="G70" s="194"/>
      <c r="H70" s="192"/>
      <c r="I70" s="191"/>
    </row>
    <row r="71" spans="1:10" ht="12.75" customHeight="1">
      <c r="A71" s="191"/>
      <c r="B71" s="388" t="s">
        <v>39</v>
      </c>
      <c r="C71" s="388"/>
      <c r="D71" s="397">
        <f>D6</f>
        <v>5</v>
      </c>
      <c r="E71" s="397"/>
      <c r="F71" s="397"/>
      <c r="G71" s="397"/>
      <c r="H71" s="192"/>
      <c r="I71" s="191"/>
    </row>
    <row r="72" spans="1:10" ht="12.75" customHeight="1">
      <c r="A72" s="191"/>
      <c r="B72" s="388" t="s">
        <v>40</v>
      </c>
      <c r="C72" s="388"/>
      <c r="D72" s="389">
        <f>D7</f>
        <v>43622</v>
      </c>
      <c r="E72" s="390"/>
      <c r="F72" s="391" t="str">
        <f>F7</f>
        <v>木曜日　１６時</v>
      </c>
      <c r="G72" s="392"/>
      <c r="H72" s="192"/>
      <c r="I72" s="191"/>
    </row>
    <row r="73" spans="1:10" ht="12.75" customHeight="1">
      <c r="A73" s="191"/>
      <c r="B73" s="388" t="s">
        <v>38</v>
      </c>
      <c r="C73" s="388"/>
      <c r="D73" s="389">
        <f>D8</f>
        <v>43631</v>
      </c>
      <c r="E73" s="390"/>
      <c r="F73" s="391" t="str">
        <f>F8</f>
        <v>土曜日</v>
      </c>
      <c r="G73" s="392"/>
      <c r="H73" s="192"/>
      <c r="I73" s="191"/>
    </row>
    <row r="74" spans="1:10" ht="12.75" customHeight="1">
      <c r="A74" s="191"/>
      <c r="B74" s="388" t="s">
        <v>41</v>
      </c>
      <c r="C74" s="388"/>
      <c r="D74" s="393" t="s">
        <v>45</v>
      </c>
      <c r="E74" s="394"/>
      <c r="F74" s="395" t="s">
        <v>46</v>
      </c>
      <c r="G74" s="396"/>
      <c r="H74" s="192"/>
      <c r="I74" s="191"/>
    </row>
    <row r="75" spans="1:10" ht="12.75" customHeight="1">
      <c r="A75" s="191"/>
      <c r="B75" s="197"/>
      <c r="C75" s="197"/>
      <c r="D75" s="195"/>
      <c r="E75" s="195"/>
      <c r="F75" s="195"/>
      <c r="G75" s="195"/>
      <c r="H75" s="192"/>
      <c r="I75" s="191"/>
    </row>
    <row r="76" spans="1:10" ht="22.5" customHeight="1">
      <c r="B76" s="414" t="str">
        <f>B11</f>
        <v>男　子　団　体　参　加　申　込　書</v>
      </c>
      <c r="C76" s="414"/>
      <c r="D76" s="414"/>
      <c r="E76" s="414"/>
      <c r="F76" s="414"/>
      <c r="G76" s="414"/>
      <c r="I76" s="191"/>
    </row>
    <row r="77" spans="1:10" ht="12.75" customHeight="1">
      <c r="A77" s="252" t="s">
        <v>32</v>
      </c>
      <c r="B77" s="148" t="s">
        <v>528</v>
      </c>
      <c r="C77" s="149" t="s">
        <v>10</v>
      </c>
      <c r="D77" s="150" t="s">
        <v>33</v>
      </c>
      <c r="E77" s="151" t="s">
        <v>12</v>
      </c>
      <c r="F77" s="152" t="s">
        <v>13</v>
      </c>
      <c r="G77" s="153" t="s">
        <v>14</v>
      </c>
      <c r="H77" s="252" t="s">
        <v>47</v>
      </c>
      <c r="I77" s="191"/>
    </row>
    <row r="78" spans="1:10" ht="12.75" customHeight="1">
      <c r="A78" s="154" t="str">
        <f>IF(A13="","",A13)</f>
        <v/>
      </c>
      <c r="B78" s="155" t="str">
        <f t="shared" ref="B78:H78" si="1">IF(B13="","",B13)</f>
        <v>Ａ</v>
      </c>
      <c r="C78" s="185" t="str">
        <f t="shared" si="1"/>
        <v/>
      </c>
      <c r="D78" s="139" t="str">
        <f t="shared" si="1"/>
        <v/>
      </c>
      <c r="E78" s="185">
        <f t="shared" si="1"/>
        <v>1</v>
      </c>
      <c r="F78" s="158" t="str">
        <f t="shared" si="1"/>
        <v/>
      </c>
      <c r="G78" s="159" t="str">
        <f t="shared" si="1"/>
        <v/>
      </c>
      <c r="H78" s="159" t="str">
        <f t="shared" si="1"/>
        <v/>
      </c>
      <c r="I78" s="191"/>
    </row>
    <row r="79" spans="1:10" ht="12.75" customHeight="1">
      <c r="A79" s="160" t="str">
        <f t="shared" ref="A79:H84" si="2">IF(A14="","",A14)</f>
        <v/>
      </c>
      <c r="B79" s="161" t="str">
        <f t="shared" si="2"/>
        <v>Ａ</v>
      </c>
      <c r="C79" s="186" t="str">
        <f t="shared" si="2"/>
        <v/>
      </c>
      <c r="D79" s="140" t="str">
        <f t="shared" si="2"/>
        <v/>
      </c>
      <c r="E79" s="186">
        <f t="shared" si="2"/>
        <v>2</v>
      </c>
      <c r="F79" s="164" t="str">
        <f t="shared" si="2"/>
        <v/>
      </c>
      <c r="G79" s="165" t="str">
        <f t="shared" si="2"/>
        <v/>
      </c>
      <c r="H79" s="165" t="str">
        <f t="shared" si="2"/>
        <v/>
      </c>
      <c r="I79" s="191"/>
    </row>
    <row r="80" spans="1:10" ht="12.75" customHeight="1">
      <c r="A80" s="160" t="str">
        <f t="shared" si="2"/>
        <v/>
      </c>
      <c r="B80" s="161" t="str">
        <f t="shared" si="2"/>
        <v>Ａ</v>
      </c>
      <c r="C80" s="186" t="str">
        <f t="shared" si="2"/>
        <v/>
      </c>
      <c r="D80" s="140" t="str">
        <f t="shared" si="2"/>
        <v/>
      </c>
      <c r="E80" s="186">
        <f t="shared" si="2"/>
        <v>3</v>
      </c>
      <c r="F80" s="164" t="str">
        <f t="shared" si="2"/>
        <v/>
      </c>
      <c r="G80" s="165" t="str">
        <f t="shared" si="2"/>
        <v/>
      </c>
      <c r="H80" s="165" t="str">
        <f t="shared" si="2"/>
        <v/>
      </c>
      <c r="I80" s="191"/>
    </row>
    <row r="81" spans="1:9" ht="12.75" customHeight="1">
      <c r="A81" s="160" t="str">
        <f t="shared" si="2"/>
        <v/>
      </c>
      <c r="B81" s="161" t="str">
        <f t="shared" si="2"/>
        <v>Ａ</v>
      </c>
      <c r="C81" s="186" t="str">
        <f t="shared" si="2"/>
        <v/>
      </c>
      <c r="D81" s="140" t="str">
        <f t="shared" si="2"/>
        <v/>
      </c>
      <c r="E81" s="186">
        <f t="shared" si="2"/>
        <v>4</v>
      </c>
      <c r="F81" s="164" t="str">
        <f t="shared" si="2"/>
        <v/>
      </c>
      <c r="G81" s="165" t="str">
        <f t="shared" si="2"/>
        <v/>
      </c>
      <c r="H81" s="165" t="str">
        <f t="shared" si="2"/>
        <v/>
      </c>
      <c r="I81" s="191"/>
    </row>
    <row r="82" spans="1:9" ht="12.75" customHeight="1">
      <c r="A82" s="160" t="str">
        <f t="shared" si="2"/>
        <v/>
      </c>
      <c r="B82" s="161" t="str">
        <f t="shared" si="2"/>
        <v>Ａ</v>
      </c>
      <c r="C82" s="186" t="str">
        <f t="shared" si="2"/>
        <v/>
      </c>
      <c r="D82" s="140" t="str">
        <f t="shared" si="2"/>
        <v/>
      </c>
      <c r="E82" s="186">
        <f t="shared" si="2"/>
        <v>5</v>
      </c>
      <c r="F82" s="164" t="str">
        <f t="shared" si="2"/>
        <v/>
      </c>
      <c r="G82" s="165" t="str">
        <f t="shared" si="2"/>
        <v/>
      </c>
      <c r="H82" s="165" t="str">
        <f t="shared" si="2"/>
        <v/>
      </c>
      <c r="I82" s="191"/>
    </row>
    <row r="83" spans="1:9" ht="12.75" customHeight="1">
      <c r="A83" s="175" t="str">
        <f t="shared" si="2"/>
        <v/>
      </c>
      <c r="B83" s="176" t="str">
        <f t="shared" si="2"/>
        <v>Ａ</v>
      </c>
      <c r="C83" s="187" t="str">
        <f t="shared" si="2"/>
        <v/>
      </c>
      <c r="D83" s="141" t="str">
        <f t="shared" si="2"/>
        <v/>
      </c>
      <c r="E83" s="187">
        <f t="shared" si="2"/>
        <v>6</v>
      </c>
      <c r="F83" s="188" t="str">
        <f t="shared" si="2"/>
        <v/>
      </c>
      <c r="G83" s="181" t="str">
        <f t="shared" si="2"/>
        <v/>
      </c>
      <c r="H83" s="181" t="str">
        <f t="shared" si="2"/>
        <v/>
      </c>
      <c r="I83" s="191"/>
    </row>
    <row r="84" spans="1:9" ht="12.75" customHeight="1">
      <c r="A84" s="175" t="str">
        <f t="shared" si="2"/>
        <v/>
      </c>
      <c r="B84" s="176" t="str">
        <f t="shared" si="2"/>
        <v>Ａ</v>
      </c>
      <c r="C84" s="187" t="str">
        <f t="shared" si="2"/>
        <v/>
      </c>
      <c r="D84" s="141" t="str">
        <f t="shared" si="2"/>
        <v/>
      </c>
      <c r="E84" s="187">
        <f t="shared" si="2"/>
        <v>6</v>
      </c>
      <c r="F84" s="180" t="str">
        <f t="shared" si="2"/>
        <v/>
      </c>
      <c r="G84" s="181" t="str">
        <f t="shared" si="2"/>
        <v/>
      </c>
      <c r="H84" s="242" t="str">
        <f t="shared" si="2"/>
        <v/>
      </c>
      <c r="I84" s="191"/>
    </row>
    <row r="85" spans="1:9" ht="12.75" customHeight="1">
      <c r="B85" s="183" t="str">
        <f t="shared" ref="B85" si="3">B20</f>
        <v>（６は補欠です）</v>
      </c>
      <c r="C85" s="184"/>
      <c r="D85" s="184"/>
      <c r="E85" s="184"/>
      <c r="F85" s="184"/>
      <c r="G85" s="184"/>
      <c r="I85" s="191"/>
    </row>
    <row r="86" spans="1:9" ht="12.75" customHeight="1">
      <c r="A86" s="243"/>
      <c r="B86" s="243"/>
      <c r="C86" s="243"/>
      <c r="D86" s="244"/>
      <c r="E86" s="243"/>
      <c r="F86" s="245"/>
      <c r="G86" s="243"/>
      <c r="H86" s="243"/>
      <c r="I86" s="191"/>
    </row>
    <row r="87" spans="1:9" ht="12.75" customHeight="1">
      <c r="A87" s="243"/>
      <c r="B87" s="243"/>
      <c r="C87" s="243"/>
      <c r="D87" s="244"/>
      <c r="E87" s="243"/>
      <c r="F87" s="245"/>
      <c r="G87" s="243"/>
      <c r="H87" s="243"/>
      <c r="I87" s="191"/>
    </row>
    <row r="88" spans="1:9" ht="12.75" customHeight="1">
      <c r="A88" s="246"/>
      <c r="B88" s="247"/>
      <c r="C88" s="246"/>
      <c r="D88" s="246"/>
      <c r="E88" s="246"/>
      <c r="F88" s="246"/>
      <c r="G88" s="246"/>
      <c r="H88" s="243"/>
      <c r="I88" s="191"/>
    </row>
    <row r="89" spans="1:9" ht="12.75" customHeight="1">
      <c r="A89" s="191"/>
      <c r="B89" s="247"/>
      <c r="C89" s="246"/>
      <c r="D89" s="246"/>
      <c r="E89" s="246"/>
      <c r="F89" s="246"/>
      <c r="G89" s="246"/>
      <c r="H89" s="192"/>
      <c r="I89" s="191"/>
    </row>
    <row r="90" spans="1:9" ht="12.75" customHeight="1">
      <c r="A90" s="246"/>
      <c r="B90" s="248"/>
      <c r="C90" s="248"/>
      <c r="D90" s="248"/>
      <c r="E90" s="248"/>
      <c r="F90" s="248"/>
      <c r="G90" s="248"/>
      <c r="H90" s="243"/>
      <c r="I90" s="191"/>
    </row>
    <row r="91" spans="1:9" ht="12.75" customHeight="1">
      <c r="A91" s="243"/>
      <c r="B91" s="243"/>
      <c r="C91" s="243"/>
      <c r="D91" s="244"/>
      <c r="E91" s="243"/>
      <c r="F91" s="243"/>
      <c r="G91" s="243"/>
      <c r="H91" s="243"/>
      <c r="I91" s="191"/>
    </row>
    <row r="92" spans="1:9" ht="12.75" customHeight="1">
      <c r="A92" s="243"/>
      <c r="B92" s="243"/>
      <c r="C92" s="243"/>
      <c r="D92" s="244"/>
      <c r="E92" s="243"/>
      <c r="F92" s="246"/>
      <c r="G92" s="243"/>
      <c r="H92" s="243"/>
      <c r="I92" s="191"/>
    </row>
    <row r="93" spans="1:9" ht="12.75" customHeight="1">
      <c r="A93" s="243"/>
      <c r="B93" s="243"/>
      <c r="C93" s="243"/>
      <c r="D93" s="244"/>
      <c r="E93" s="243"/>
      <c r="F93" s="246"/>
      <c r="G93" s="243"/>
      <c r="H93" s="243"/>
      <c r="I93" s="191"/>
    </row>
    <row r="94" spans="1:9" ht="12.75" customHeight="1">
      <c r="A94" s="243"/>
      <c r="B94" s="243"/>
      <c r="C94" s="243"/>
      <c r="D94" s="244"/>
      <c r="E94" s="243"/>
      <c r="F94" s="246"/>
      <c r="G94" s="243"/>
      <c r="H94" s="243"/>
      <c r="I94" s="191"/>
    </row>
    <row r="95" spans="1:9" ht="12.75" customHeight="1">
      <c r="A95" s="243"/>
      <c r="B95" s="243"/>
      <c r="C95" s="243"/>
      <c r="D95" s="244"/>
      <c r="E95" s="243"/>
      <c r="F95" s="246"/>
      <c r="G95" s="243"/>
      <c r="H95" s="243"/>
      <c r="I95" s="191"/>
    </row>
    <row r="96" spans="1:9" ht="12.75" customHeight="1">
      <c r="A96" s="243"/>
      <c r="B96" s="243"/>
      <c r="C96" s="243"/>
      <c r="D96" s="244"/>
      <c r="E96" s="243"/>
      <c r="F96" s="246"/>
      <c r="G96" s="243"/>
      <c r="H96" s="243"/>
      <c r="I96" s="191"/>
    </row>
    <row r="97" spans="1:11" ht="12.75" customHeight="1">
      <c r="A97" s="243"/>
      <c r="B97" s="243"/>
      <c r="C97" s="243"/>
      <c r="D97" s="244"/>
      <c r="E97" s="243"/>
      <c r="F97" s="246"/>
      <c r="G97" s="243"/>
      <c r="H97" s="243"/>
      <c r="I97" s="191"/>
    </row>
    <row r="98" spans="1:11" ht="12.75" customHeight="1">
      <c r="A98" s="243"/>
      <c r="B98" s="243"/>
      <c r="C98" s="243"/>
      <c r="D98" s="244"/>
      <c r="E98" s="243"/>
      <c r="F98" s="246"/>
      <c r="G98" s="243"/>
      <c r="H98" s="243"/>
      <c r="I98" s="191"/>
    </row>
    <row r="99" spans="1:11" ht="12.75" customHeight="1">
      <c r="A99" s="243"/>
      <c r="B99" s="243"/>
      <c r="C99" s="243"/>
      <c r="D99" s="244"/>
      <c r="E99" s="243"/>
      <c r="F99" s="246"/>
      <c r="G99" s="243"/>
      <c r="H99" s="243"/>
      <c r="I99" s="191"/>
    </row>
    <row r="100" spans="1:11" ht="12.75" customHeight="1">
      <c r="A100" s="243"/>
      <c r="B100" s="243"/>
      <c r="C100" s="243"/>
      <c r="D100" s="244"/>
      <c r="E100" s="243"/>
      <c r="F100" s="246"/>
      <c r="G100" s="243"/>
      <c r="H100" s="243"/>
      <c r="I100" s="191"/>
      <c r="K100" s="147"/>
    </row>
    <row r="101" spans="1:11" ht="12.75" customHeight="1">
      <c r="A101" s="243"/>
      <c r="B101" s="243"/>
      <c r="C101" s="243"/>
      <c r="D101" s="244"/>
      <c r="E101" s="243"/>
      <c r="F101" s="246"/>
      <c r="G101" s="243"/>
      <c r="H101" s="243"/>
      <c r="I101" s="191"/>
      <c r="K101" s="147"/>
    </row>
    <row r="102" spans="1:11" ht="12.75" customHeight="1">
      <c r="A102" s="243"/>
      <c r="B102" s="243"/>
      <c r="C102" s="243"/>
      <c r="D102" s="244"/>
      <c r="E102" s="243"/>
      <c r="F102" s="246"/>
      <c r="G102" s="243"/>
      <c r="H102" s="243"/>
      <c r="I102" s="191"/>
      <c r="K102" s="147"/>
    </row>
    <row r="103" spans="1:11" ht="12.75" customHeight="1">
      <c r="A103" s="243"/>
      <c r="B103" s="243"/>
      <c r="C103" s="243"/>
      <c r="D103" s="244"/>
      <c r="E103" s="243"/>
      <c r="F103" s="246"/>
      <c r="G103" s="243"/>
      <c r="H103" s="243"/>
      <c r="I103" s="191"/>
      <c r="K103" s="147"/>
    </row>
    <row r="104" spans="1:11" ht="12.75" customHeight="1">
      <c r="A104" s="243"/>
      <c r="B104" s="243"/>
      <c r="C104" s="243"/>
      <c r="D104" s="244"/>
      <c r="E104" s="243"/>
      <c r="F104" s="246"/>
      <c r="G104" s="243"/>
      <c r="H104" s="243"/>
      <c r="I104" s="191"/>
      <c r="K104" s="147"/>
    </row>
    <row r="105" spans="1:11" ht="12.75" customHeight="1">
      <c r="A105" s="243"/>
      <c r="B105" s="243"/>
      <c r="C105" s="243"/>
      <c r="D105" s="244"/>
      <c r="E105" s="243"/>
      <c r="F105" s="246"/>
      <c r="G105" s="243"/>
      <c r="H105" s="243"/>
      <c r="I105" s="191"/>
    </row>
    <row r="106" spans="1:11" ht="12.75" customHeight="1">
      <c r="A106" s="243"/>
      <c r="B106" s="243"/>
      <c r="C106" s="243"/>
      <c r="D106" s="244"/>
      <c r="E106" s="243"/>
      <c r="F106" s="246"/>
      <c r="G106" s="243"/>
      <c r="H106" s="243"/>
      <c r="I106" s="191"/>
    </row>
    <row r="107" spans="1:11" ht="12.75" customHeight="1">
      <c r="A107" s="243"/>
      <c r="B107" s="243"/>
      <c r="C107" s="243"/>
      <c r="D107" s="244"/>
      <c r="E107" s="243"/>
      <c r="F107" s="246"/>
      <c r="G107" s="243"/>
      <c r="H107" s="243"/>
      <c r="I107" s="191"/>
    </row>
    <row r="108" spans="1:11" ht="12.75" customHeight="1">
      <c r="A108" s="243"/>
      <c r="B108" s="243"/>
      <c r="C108" s="243"/>
      <c r="D108" s="244"/>
      <c r="E108" s="243"/>
      <c r="F108" s="246"/>
      <c r="G108" s="243"/>
      <c r="H108" s="243"/>
      <c r="I108" s="191"/>
    </row>
    <row r="109" spans="1:11" ht="12.75" customHeight="1">
      <c r="A109" s="243"/>
      <c r="B109" s="243"/>
      <c r="C109" s="243"/>
      <c r="D109" s="244"/>
      <c r="E109" s="243"/>
      <c r="F109" s="246"/>
      <c r="G109" s="243"/>
      <c r="H109" s="243"/>
      <c r="I109" s="191"/>
    </row>
    <row r="110" spans="1:11" ht="12.75" customHeight="1">
      <c r="A110" s="243"/>
      <c r="B110" s="243"/>
      <c r="C110" s="243"/>
      <c r="D110" s="244"/>
      <c r="E110" s="243"/>
      <c r="F110" s="246"/>
      <c r="G110" s="243"/>
      <c r="H110" s="243"/>
      <c r="I110" s="191"/>
    </row>
    <row r="111" spans="1:11" ht="12.75" customHeight="1">
      <c r="A111" s="243"/>
      <c r="B111" s="243"/>
      <c r="C111" s="243"/>
      <c r="D111" s="244"/>
      <c r="E111" s="243"/>
      <c r="F111" s="246"/>
      <c r="G111" s="243"/>
      <c r="H111" s="243"/>
      <c r="I111" s="191"/>
    </row>
    <row r="112" spans="1:11" ht="12.75" customHeight="1">
      <c r="A112" s="243"/>
      <c r="B112" s="243"/>
      <c r="C112" s="243"/>
      <c r="D112" s="244"/>
      <c r="E112" s="243"/>
      <c r="F112" s="246"/>
      <c r="G112" s="243"/>
      <c r="H112" s="243"/>
      <c r="I112" s="191"/>
    </row>
    <row r="113" spans="1:9" ht="12.75" customHeight="1">
      <c r="A113" s="243"/>
      <c r="B113" s="243"/>
      <c r="C113" s="243"/>
      <c r="D113" s="244"/>
      <c r="E113" s="243"/>
      <c r="F113" s="246"/>
      <c r="G113" s="243"/>
      <c r="H113" s="243"/>
      <c r="I113" s="191"/>
    </row>
    <row r="114" spans="1:9" ht="12.75" customHeight="1">
      <c r="A114" s="243"/>
      <c r="B114" s="243"/>
      <c r="C114" s="243"/>
      <c r="D114" s="244"/>
      <c r="E114" s="243"/>
      <c r="F114" s="246"/>
      <c r="G114" s="243"/>
      <c r="H114" s="243"/>
      <c r="I114" s="191"/>
    </row>
    <row r="115" spans="1:9" ht="12.75" customHeight="1">
      <c r="A115" s="243"/>
      <c r="B115" s="243"/>
      <c r="C115" s="243"/>
      <c r="D115" s="244"/>
      <c r="E115" s="243"/>
      <c r="F115" s="246"/>
      <c r="G115" s="243"/>
      <c r="H115" s="243"/>
      <c r="I115" s="191"/>
    </row>
    <row r="116" spans="1:9" ht="12.75" customHeight="1">
      <c r="A116" s="243"/>
      <c r="B116" s="243"/>
      <c r="C116" s="243"/>
      <c r="D116" s="244"/>
      <c r="E116" s="243"/>
      <c r="F116" s="246"/>
      <c r="G116" s="243"/>
      <c r="H116" s="243"/>
      <c r="I116" s="191"/>
    </row>
    <row r="117" spans="1:9" ht="12.75" customHeight="1">
      <c r="A117" s="243"/>
      <c r="B117" s="243"/>
      <c r="C117" s="243"/>
      <c r="D117" s="244"/>
      <c r="E117" s="243"/>
      <c r="F117" s="246"/>
      <c r="G117" s="243"/>
      <c r="H117" s="243"/>
      <c r="I117" s="191"/>
    </row>
    <row r="118" spans="1:9" ht="12.75" customHeight="1">
      <c r="A118" s="243"/>
      <c r="B118" s="243"/>
      <c r="C118" s="243"/>
      <c r="D118" s="244"/>
      <c r="E118" s="243"/>
      <c r="F118" s="246"/>
      <c r="G118" s="243"/>
      <c r="H118" s="243"/>
      <c r="I118" s="191"/>
    </row>
    <row r="119" spans="1:9" ht="12.75" customHeight="1">
      <c r="A119" s="243"/>
      <c r="B119" s="243"/>
      <c r="C119" s="243"/>
      <c r="D119" s="244"/>
      <c r="E119" s="243"/>
      <c r="F119" s="246"/>
      <c r="G119" s="243"/>
      <c r="H119" s="243"/>
      <c r="I119" s="191"/>
    </row>
    <row r="120" spans="1:9" ht="12.75" customHeight="1">
      <c r="A120" s="243"/>
      <c r="B120" s="243"/>
      <c r="C120" s="243"/>
      <c r="D120" s="244"/>
      <c r="E120" s="243"/>
      <c r="F120" s="246"/>
      <c r="G120" s="243"/>
      <c r="H120" s="243"/>
      <c r="I120" s="191"/>
    </row>
    <row r="121" spans="1:9" ht="12.75" customHeight="1">
      <c r="A121" s="243"/>
      <c r="B121" s="243"/>
      <c r="C121" s="243"/>
      <c r="D121" s="244"/>
      <c r="E121" s="243"/>
      <c r="F121" s="246"/>
      <c r="G121" s="243"/>
      <c r="H121" s="243"/>
      <c r="I121" s="191"/>
    </row>
    <row r="122" spans="1:9" ht="12.75" customHeight="1">
      <c r="A122" s="191"/>
      <c r="B122" s="191"/>
      <c r="C122" s="191"/>
      <c r="D122" s="191"/>
      <c r="E122" s="191"/>
      <c r="F122" s="191"/>
      <c r="G122" s="191"/>
      <c r="H122" s="192"/>
      <c r="I122" s="191"/>
    </row>
    <row r="123" spans="1:9" s="75" customFormat="1" ht="12.75" customHeight="1">
      <c r="A123" s="385" t="s">
        <v>406</v>
      </c>
      <c r="B123" s="385"/>
      <c r="C123" s="385"/>
      <c r="D123" s="385"/>
      <c r="E123" s="386">
        <f>E58</f>
        <v>43622</v>
      </c>
      <c r="F123" s="387"/>
      <c r="G123" s="238"/>
      <c r="H123" s="238"/>
      <c r="I123" s="238"/>
    </row>
    <row r="124" spans="1:9" s="75" customFormat="1" ht="12.75" customHeight="1">
      <c r="A124" s="258"/>
      <c r="B124" s="258"/>
      <c r="C124" s="258"/>
      <c r="D124" s="258"/>
      <c r="E124" s="239"/>
      <c r="F124" s="239"/>
      <c r="G124" s="238"/>
      <c r="H124" s="238"/>
      <c r="I124" s="238"/>
    </row>
    <row r="125" spans="1:9" s="75" customFormat="1" ht="12.75" customHeight="1">
      <c r="A125" s="258"/>
      <c r="B125" s="258"/>
      <c r="C125" s="258"/>
      <c r="D125" s="258"/>
      <c r="E125" s="238"/>
      <c r="F125" s="238"/>
      <c r="G125" s="238"/>
      <c r="H125" s="238"/>
      <c r="I125" s="238"/>
    </row>
    <row r="126" spans="1:9" s="75" customFormat="1" ht="12.75" customHeight="1">
      <c r="A126" s="239" t="s">
        <v>507</v>
      </c>
      <c r="B126" s="383" t="str">
        <f>B61</f>
        <v/>
      </c>
      <c r="C126" s="383"/>
      <c r="D126" s="383"/>
      <c r="E126" s="239" t="s">
        <v>199</v>
      </c>
      <c r="F126" s="249" t="str">
        <f>F61</f>
        <v xml:space="preserve">○　○　○　○　 </v>
      </c>
      <c r="G126" s="257" t="s">
        <v>511</v>
      </c>
      <c r="H126" s="238"/>
      <c r="I126" s="238"/>
    </row>
    <row r="127" spans="1:9" s="75" customFormat="1" ht="12.75" customHeight="1">
      <c r="A127" s="238"/>
      <c r="B127" s="238"/>
      <c r="C127" s="238"/>
      <c r="D127" s="238"/>
      <c r="E127" s="238"/>
      <c r="F127" s="238"/>
      <c r="G127" s="238"/>
      <c r="H127" s="240"/>
      <c r="I127" s="238"/>
    </row>
    <row r="128" spans="1:9" s="75" customFormat="1" ht="12.75" customHeight="1">
      <c r="A128" s="238"/>
      <c r="B128" s="238"/>
      <c r="C128" s="238"/>
      <c r="D128" s="238"/>
      <c r="E128" s="238"/>
      <c r="F128" s="238"/>
      <c r="G128" s="238"/>
      <c r="H128" s="240"/>
      <c r="I128" s="238"/>
    </row>
    <row r="129" spans="1:9" s="75" customFormat="1" ht="12.75" customHeight="1">
      <c r="A129" s="239" t="s">
        <v>510</v>
      </c>
      <c r="B129" s="383" t="str">
        <f>B64</f>
        <v/>
      </c>
      <c r="C129" s="383"/>
      <c r="D129" s="383"/>
      <c r="E129" s="239" t="s">
        <v>509</v>
      </c>
      <c r="F129" s="249" t="str">
        <f>F64</f>
        <v xml:space="preserve">○　○　○　○　 </v>
      </c>
      <c r="G129" s="257" t="s">
        <v>511</v>
      </c>
      <c r="H129" s="240"/>
      <c r="I129" s="238"/>
    </row>
    <row r="130" spans="1:9" ht="12.75" customHeight="1"/>
  </sheetData>
  <sheetProtection password="CC71" sheet="1" objects="1" scenarios="1"/>
  <mergeCells count="43">
    <mergeCell ref="A123:D123"/>
    <mergeCell ref="E123:F123"/>
    <mergeCell ref="B126:D126"/>
    <mergeCell ref="B129:D129"/>
    <mergeCell ref="B74:C74"/>
    <mergeCell ref="D74:E74"/>
    <mergeCell ref="F74:G74"/>
    <mergeCell ref="B76:G76"/>
    <mergeCell ref="B72:C72"/>
    <mergeCell ref="D72:E72"/>
    <mergeCell ref="F72:G72"/>
    <mergeCell ref="B73:C73"/>
    <mergeCell ref="D73:E73"/>
    <mergeCell ref="F73:G73"/>
    <mergeCell ref="C67:G67"/>
    <mergeCell ref="B69:C69"/>
    <mergeCell ref="D69:F69"/>
    <mergeCell ref="G69:H69"/>
    <mergeCell ref="B71:C71"/>
    <mergeCell ref="D71:G71"/>
    <mergeCell ref="K2:K3"/>
    <mergeCell ref="L2:L3"/>
    <mergeCell ref="F7:G7"/>
    <mergeCell ref="B4:C4"/>
    <mergeCell ref="B6:C6"/>
    <mergeCell ref="D6:G6"/>
    <mergeCell ref="B7:C7"/>
    <mergeCell ref="C2:G2"/>
    <mergeCell ref="B61:D61"/>
    <mergeCell ref="B64:D64"/>
    <mergeCell ref="A58:D58"/>
    <mergeCell ref="D4:F4"/>
    <mergeCell ref="G4:H4"/>
    <mergeCell ref="B11:G11"/>
    <mergeCell ref="D7:E7"/>
    <mergeCell ref="B9:C9"/>
    <mergeCell ref="F9:G9"/>
    <mergeCell ref="D9:E9"/>
    <mergeCell ref="B8:C8"/>
    <mergeCell ref="D8:E8"/>
    <mergeCell ref="F8:G8"/>
    <mergeCell ref="E58:F58"/>
    <mergeCell ref="A2:A4"/>
  </mergeCells>
  <phoneticPr fontId="2"/>
  <dataValidations count="1">
    <dataValidation type="list" allowBlank="1" showInputMessage="1" showErrorMessage="1" errorTitle="個数エラー" error="0～2を入力" sqref="I4">
      <formula1>"0,1,2"</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L130"/>
  <sheetViews>
    <sheetView zoomScaleNormal="100" workbookViewId="0"/>
  </sheetViews>
  <sheetFormatPr defaultColWidth="9" defaultRowHeight="12.75"/>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9" width="4.25" style="143" customWidth="1"/>
    <col min="10" max="10" width="6.125" style="143" customWidth="1"/>
    <col min="11" max="16384" width="9" style="143"/>
  </cols>
  <sheetData>
    <row r="2" spans="1:12" ht="22.5" customHeight="1">
      <c r="A2" s="382" t="s">
        <v>518</v>
      </c>
      <c r="B2" s="252">
        <v>2</v>
      </c>
      <c r="C2" s="414" t="str">
        <f>日!B1&amp;"県高校弓道選手権大会（兼）全国高校総体弓道県予選会"</f>
        <v>令和元年度県高校弓道選手権大会（兼）全国高校総体弓道県予選会</v>
      </c>
      <c r="D2" s="414"/>
      <c r="E2" s="414"/>
      <c r="F2" s="414"/>
      <c r="G2" s="414"/>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531</v>
      </c>
    </row>
    <row r="5" spans="1:12" ht="12.75" customHeight="1">
      <c r="B5" s="144"/>
      <c r="C5" s="144"/>
      <c r="D5" s="145"/>
      <c r="E5" s="145"/>
      <c r="F5" s="145"/>
      <c r="G5" s="145"/>
      <c r="K5" s="253" t="str">
        <f>SUBSTITUTE(SUBSTITUTE(K4," ",""),"　","")</f>
        <v>○○</v>
      </c>
      <c r="L5" s="253" t="str">
        <f>SUBSTITUTE(SUBSTITUTE(L4," ",""),"　","")</f>
        <v>○○</v>
      </c>
    </row>
    <row r="6" spans="1:12" ht="12.75" customHeight="1">
      <c r="B6" s="411" t="s">
        <v>39</v>
      </c>
      <c r="C6" s="411"/>
      <c r="D6" s="427">
        <v>6</v>
      </c>
      <c r="E6" s="427"/>
      <c r="F6" s="427"/>
      <c r="G6" s="427"/>
      <c r="I6" s="147"/>
    </row>
    <row r="7" spans="1:12" ht="12.75" customHeight="1">
      <c r="B7" s="411" t="s">
        <v>40</v>
      </c>
      <c r="C7" s="411"/>
      <c r="D7" s="422">
        <f>VLOOKUP(D6,日!$B$2:$F$111,3,0)</f>
        <v>43622</v>
      </c>
      <c r="E7" s="423"/>
      <c r="F7" s="416" t="str">
        <f>TEXT(WEEKDAY(D7,1),"aaaa")&amp;"　１６時"</f>
        <v>木曜日　１６時</v>
      </c>
      <c r="G7" s="417"/>
      <c r="I7" s="147"/>
    </row>
    <row r="8" spans="1:12" ht="12.75" customHeight="1">
      <c r="B8" s="411" t="s">
        <v>38</v>
      </c>
      <c r="C8" s="411"/>
      <c r="D8" s="418">
        <f>VLOOKUP(D6,日!$B$2:$F$111,5,0)</f>
        <v>43630</v>
      </c>
      <c r="E8" s="419"/>
      <c r="F8" s="420" t="str">
        <f>TEXT(WEEKDAY(D8,1),"aaaa")</f>
        <v>金曜日</v>
      </c>
      <c r="G8" s="421"/>
      <c r="I8" s="147"/>
    </row>
    <row r="9" spans="1:12" ht="12.75" customHeight="1">
      <c r="B9" s="411" t="s">
        <v>41</v>
      </c>
      <c r="C9" s="411"/>
      <c r="D9" s="412" t="s">
        <v>45</v>
      </c>
      <c r="E9" s="413"/>
      <c r="F9" s="395" t="s">
        <v>46</v>
      </c>
      <c r="G9" s="396"/>
      <c r="I9" s="147"/>
    </row>
    <row r="10" spans="1:12" ht="12.75" customHeight="1">
      <c r="B10" s="147"/>
      <c r="C10" s="147"/>
      <c r="D10" s="146"/>
      <c r="E10" s="146"/>
      <c r="F10" s="146"/>
      <c r="G10" s="146"/>
      <c r="I10" s="147"/>
    </row>
    <row r="11" spans="1:12" ht="22.5" customHeight="1">
      <c r="B11" s="414" t="str">
        <f>IF(B2=1,"男　子　団　体　参　加　申　込　書","女　子　団　体　参　加　申　込　書")</f>
        <v>女　子　団　体　参　加　申　込　書</v>
      </c>
      <c r="C11" s="414"/>
      <c r="D11" s="414"/>
      <c r="E11" s="414"/>
      <c r="F11" s="414"/>
      <c r="G11" s="414"/>
    </row>
    <row r="12" spans="1:12" ht="12.75" customHeight="1">
      <c r="A12" s="252" t="s">
        <v>32</v>
      </c>
      <c r="B12" s="148" t="s">
        <v>18</v>
      </c>
      <c r="C12" s="149" t="s">
        <v>10</v>
      </c>
      <c r="D12" s="150" t="s">
        <v>33</v>
      </c>
      <c r="E12" s="151" t="s">
        <v>12</v>
      </c>
      <c r="F12" s="152" t="s">
        <v>13</v>
      </c>
      <c r="G12" s="153" t="s">
        <v>14</v>
      </c>
      <c r="H12" s="252" t="s">
        <v>47</v>
      </c>
    </row>
    <row r="13" spans="1:12" ht="12.75" customHeight="1">
      <c r="A13" s="154" t="str">
        <f>IF($B$2=1,IF($D$13="","",IF(COUNT($D$13:$D$18)=2,VLOOKUP(登!$D$1,立男!$A$4:$I$100,6,0)+100,IF(COUNT($D$13:$D$18)=1,VLOOKUP(登!$D$1,立男!$A$4:$I$100,6,0)+200,VLOOKUP(登!$D$1,立男!$A$4:$I$100,6,0)))),IF($D$13="","",IF(COUNT($D$13:$D$18)=2,VLOOKUP(登!$D$1,立女!$A$4:$I$100,6,0)+100,IF(COUNT($D$13:$D$18)=1,VLOOKUP(登!$D$1,立女!$A$4:$I$100,6,0)+200,VLOOKUP(登!$D$1,立女!$A$4:$I$100,6,0)))))</f>
        <v/>
      </c>
      <c r="B13" s="155" t="s">
        <v>16</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IF(D13="","",IF(COUNTIF($D$13:$D$18,D13)&gt;1,"選手重複!!","OK"))</f>
        <v/>
      </c>
    </row>
    <row r="14" spans="1:12" ht="12.75" customHeight="1">
      <c r="A14" s="160" t="str">
        <f>IF($B$2=1,IF($D$13="","",IF(COUNT($D$13:$D$18)=2,VLOOKUP(登!$D$1,立男!$A$4:$I$100,6,0)+100,IF(COUNT($D$13:$D$18)=1,VLOOKUP(登!$D$1,立男!$A$4:$I$100,6,0)+200,VLOOKUP(登!$D$1,立男!$A$4:$I$100,6,0)))),IF($D$13="","",IF(COUNT($D$13:$D$18)=2,VLOOKUP(登!$D$1,立女!$A$4:$I$100,6,0)+100,IF(COUNT($D$13:$D$18)=1,VLOOKUP(登!$D$1,立女!$A$4:$I$100,6,0)+200,VLOOKUP(登!$D$1,立女!$A$4:$I$100,6,0)))))</f>
        <v/>
      </c>
      <c r="B14" s="161" t="s">
        <v>16</v>
      </c>
      <c r="C14" s="186" t="str">
        <f>IF(D14="","",登!$F$1)</f>
        <v/>
      </c>
      <c r="D14" s="64"/>
      <c r="E14" s="186">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 t="shared" ref="H14:H18" si="0">IF(D14="","",IF(COUNTIF($D$13:$D$18,D14)&gt;1,"選手重複!!","OK"))</f>
        <v/>
      </c>
    </row>
    <row r="15" spans="1:12" ht="12.75" customHeight="1">
      <c r="A15" s="160" t="str">
        <f>IF($B$2=1,IF($D$13="","",IF(COUNT($D$13:$D$18)=2,VLOOKUP(登!$D$1,立男!$A$4:$I$100,6,0)+100,IF(COUNT($D$13:$D$18)=1,VLOOKUP(登!$D$1,立男!$A$4:$I$100,6,0)+200,VLOOKUP(登!$D$1,立男!$A$4:$I$100,6,0)))),IF($D$13="","",IF(COUNT($D$13:$D$18)=2,VLOOKUP(登!$D$1,立女!$A$4:$I$100,6,0)+100,IF(COUNT($D$13:$D$18)=1,VLOOKUP(登!$D$1,立女!$A$4:$I$100,6,0)+200,VLOOKUP(登!$D$1,立女!$A$4:$I$100,6,0)))))</f>
        <v/>
      </c>
      <c r="B15" s="161" t="s">
        <v>16</v>
      </c>
      <c r="C15" s="186" t="str">
        <f>IF(D15="","",登!$F$1)</f>
        <v/>
      </c>
      <c r="D15" s="64"/>
      <c r="E15" s="186">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5" t="str">
        <f t="shared" si="0"/>
        <v/>
      </c>
    </row>
    <row r="16" spans="1:12" ht="12.75" customHeight="1">
      <c r="A16" s="160" t="str">
        <f>IF($B$2=1,IF($D$13="","",IF(COUNT($D$13:$D$18)=2,VLOOKUP(登!$D$1,立男!$A$4:$I$100,6,0)+100,IF(COUNT($D$13:$D$18)=1,VLOOKUP(登!$D$1,立男!$A$4:$I$100,6,0)+200,VLOOKUP(登!$D$1,立男!$A$4:$I$100,6,0)))),IF($D$13="","",IF(COUNT($D$13:$D$18)=2,VLOOKUP(登!$D$1,立女!$A$4:$I$100,6,0)+100,IF(COUNT($D$13:$D$18)=1,VLOOKUP(登!$D$1,立女!$A$4:$I$100,6,0)+200,VLOOKUP(登!$D$1,立女!$A$4:$I$100,6,0)))))</f>
        <v/>
      </c>
      <c r="B16" s="161" t="s">
        <v>16</v>
      </c>
      <c r="C16" s="186" t="str">
        <f>IF(D16="","",登!$F$1)</f>
        <v/>
      </c>
      <c r="D16" s="64"/>
      <c r="E16" s="186">
        <v>4</v>
      </c>
      <c r="F16" s="164" t="str">
        <f>IF(D16="","",IF(COUNTIF($D$13:D16,"")&gt;0,"大前から詰めて入力",IF(INT(VALUE(RIGHT(D16,3))/100)=$B$2,VLOOKUP(D16,登!$B$4:$I$103,7,0),"部員番号入力ミス")))</f>
        <v/>
      </c>
      <c r="G16" s="165" t="str">
        <f>IF(D16="","",IF(INT(VALUE(RIGHT(D16,3))/100)=$B$2,IF(VLOOKUP(D16,登!$B$4:$I$103,2,0)=登!$B$1,1,IF(VLOOKUP(D16,登!$B$4:$I$103,2,0)=登!$B$1-1,2,IF(VLOOKUP(D16,登!$B$4:$I$103,2,0)=登!$B$1-2,3,"学年ミス"))),"番号ミス"))</f>
        <v/>
      </c>
      <c r="H16" s="165" t="str">
        <f t="shared" si="0"/>
        <v/>
      </c>
    </row>
    <row r="17" spans="1:8" ht="12.75" customHeight="1">
      <c r="A17" s="160" t="str">
        <f>IF($B$2=1,IF($D$13="","",IF(COUNT($D$13:$D$18)=2,VLOOKUP(登!$D$1,立男!$A$4:$I$100,6,0)+100,IF(COUNT($D$13:$D$18)=1,VLOOKUP(登!$D$1,立男!$A$4:$I$100,6,0)+200,VLOOKUP(登!$D$1,立男!$A$4:$I$100,6,0)))),IF($D$13="","",IF(COUNT($D$13:$D$18)=2,VLOOKUP(登!$D$1,立女!$A$4:$I$100,6,0)+100,IF(COUNT($D$13:$D$18)=1,VLOOKUP(登!$D$1,立女!$A$4:$I$100,6,0)+200,VLOOKUP(登!$D$1,立女!$A$4:$I$100,6,0)))))</f>
        <v/>
      </c>
      <c r="B17" s="161" t="s">
        <v>16</v>
      </c>
      <c r="C17" s="186" t="str">
        <f>IF(D17="","",登!$F$1)</f>
        <v/>
      </c>
      <c r="D17" s="64"/>
      <c r="E17" s="186">
        <v>5</v>
      </c>
      <c r="F17" s="164" t="str">
        <f>IF(D17="","",IF(COUNTIF($D$13:D17,"")&gt;0,"大前から詰めて入力",IF(INT(VALUE(RIGHT(D17,3))/100)=$B$2,VLOOKUP(D17,登!$B$4:$I$103,7,0),"部員番号入力ミス")))</f>
        <v/>
      </c>
      <c r="G17" s="165" t="str">
        <f>IF(D17="","",IF(INT(VALUE(RIGHT(D17,3))/100)=$B$2,IF(VLOOKUP(D17,登!$B$4:$I$103,2,0)=登!$B$1,1,IF(VLOOKUP(D17,登!$B$4:$I$103,2,0)=登!$B$1-1,2,IF(VLOOKUP(D17,登!$B$4:$I$103,2,0)=登!$B$1-2,3,"学年ミス"))),"番号ミス"))</f>
        <v/>
      </c>
      <c r="H17" s="165" t="str">
        <f t="shared" si="0"/>
        <v/>
      </c>
    </row>
    <row r="18" spans="1:8" ht="12.75" customHeight="1">
      <c r="A18" s="175" t="str">
        <f>IF($B$2=1,IF($D$13="","",IF(COUNT($D$13:$D$18)=2,VLOOKUP(登!$D$1,立男!$A$4:$I$100,6,0)+100,IF(COUNT($D$13:$D$18)=1,VLOOKUP(登!$D$1,立男!$A$4:$I$100,6,0)+200,VLOOKUP(登!$D$1,立男!$A$4:$I$100,6,0)))),IF($D$13="","",IF(COUNT($D$13:$D$18)=2,VLOOKUP(登!$D$1,立女!$A$4:$I$100,6,0)+100,IF(COUNT($D$13:$D$18)=1,VLOOKUP(登!$D$1,立女!$A$4:$I$100,6,0)+200,VLOOKUP(登!$D$1,立女!$A$4:$I$100,6,0)))))</f>
        <v/>
      </c>
      <c r="B18" s="176" t="s">
        <v>16</v>
      </c>
      <c r="C18" s="187" t="str">
        <f>IF(D18="","",登!$F$1)</f>
        <v/>
      </c>
      <c r="D18" s="66"/>
      <c r="E18" s="187">
        <v>6</v>
      </c>
      <c r="F18" s="188" t="str">
        <f>IF(D18="","",IF(COUNTIF($D$13:D18,"")&gt;0,"大前から詰めて入力",IF(INT(VALUE(RIGHT(D18,3))/100)=$B$2,VLOOKUP(D18,登!$B$4:$I$103,7,0),"部員番号入力ミス")))</f>
        <v/>
      </c>
      <c r="G18" s="181" t="str">
        <f>IF(D18="","",IF(INT(VALUE(RIGHT(D18,3))/100)=$B$2,IF(VLOOKUP(D18,登!$B$4:$I$103,2,0)=登!$B$1,1,IF(VLOOKUP(D18,登!$B$4:$I$103,2,0)=登!$B$1-1,2,IF(VLOOKUP(D18,登!$B$4:$I$103,2,0)=登!$B$1-2,3,"学年ミス"))),"番号ミス"))</f>
        <v/>
      </c>
      <c r="H18" s="181" t="str">
        <f t="shared" si="0"/>
        <v/>
      </c>
    </row>
    <row r="19" spans="1:8" ht="12.75" customHeight="1">
      <c r="A19" s="175" t="str">
        <f>IF($B$2=1,IF(D19="","",VLOOKUP(登!$D$1,立男!$A$4:$I$100,6,0)+1000),IF(D19="","",VLOOKUP(登!$D$1,立女!$A$4:$I$100,6,0)+1000))</f>
        <v/>
      </c>
      <c r="B19" s="176" t="s">
        <v>16</v>
      </c>
      <c r="C19" s="187" t="str">
        <f>IF(D19="","",登!$F$1)</f>
        <v/>
      </c>
      <c r="D19" s="178" t="str">
        <f>IF(D18="","",D18)</f>
        <v/>
      </c>
      <c r="E19" s="187">
        <v>6</v>
      </c>
      <c r="F19" s="180" t="str">
        <f>IF(F18="","",F18)</f>
        <v/>
      </c>
      <c r="G19" s="181" t="str">
        <f>IF(D19="","",IF(INT(VALUE(RIGHT(D19,3))/100)=$B$2,IF(VLOOKUP(D19,登!$B$4:$I$103,2,0)=登!$B$1,1,IF(VLOOKUP(D19,登!$B$4:$I$103,2,0)=登!$B$1-1,2,IF(VLOOKUP(D19,登!$B$4:$I$103,2,0)=登!$B$1-2,3,"学年ミス"))),"番号ミス"))</f>
        <v/>
      </c>
      <c r="H19" s="242"/>
    </row>
    <row r="20" spans="1:8" ht="12.75" customHeight="1">
      <c r="B20" s="183" t="s">
        <v>24</v>
      </c>
      <c r="C20" s="184"/>
      <c r="D20" s="184"/>
      <c r="E20" s="184"/>
      <c r="F20" s="184"/>
      <c r="G20" s="184"/>
    </row>
    <row r="21" spans="1:8" ht="12.75" customHeight="1">
      <c r="B21" s="147"/>
    </row>
    <row r="22" spans="1:8" ht="12.75" customHeight="1"/>
    <row r="23" spans="1:8" ht="12.75" customHeight="1"/>
    <row r="24" spans="1:8" ht="12.75" customHeight="1"/>
    <row r="25" spans="1:8" ht="12.75" customHeight="1"/>
    <row r="26" spans="1:8" ht="12.75" customHeight="1"/>
    <row r="27" spans="1:8" ht="12.75" customHeight="1"/>
    <row r="28" spans="1:8" ht="12.75" customHeight="1"/>
    <row r="29" spans="1:8" ht="12.75" customHeight="1"/>
    <row r="30" spans="1:8" ht="12.75" customHeight="1"/>
    <row r="31" spans="1:8" ht="12.75" customHeight="1"/>
    <row r="32" spans="1:8"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spans="1:9" ht="12.75" customHeight="1"/>
    <row r="50" spans="1:9" ht="12.75" customHeight="1"/>
    <row r="51" spans="1:9" ht="12.75" customHeight="1"/>
    <row r="52" spans="1:9" ht="12.75" customHeight="1"/>
    <row r="53" spans="1:9" ht="12.75" customHeight="1"/>
    <row r="54" spans="1:9" ht="12.75" customHeight="1"/>
    <row r="55" spans="1:9" ht="12.75" customHeight="1"/>
    <row r="56" spans="1:9" ht="12.75" customHeight="1"/>
    <row r="57" spans="1:9" ht="12.75" customHeight="1"/>
    <row r="58" spans="1:9" ht="12.75" customHeight="1">
      <c r="A58" s="410" t="s">
        <v>406</v>
      </c>
      <c r="B58" s="410"/>
      <c r="C58" s="410"/>
      <c r="D58" s="410"/>
      <c r="E58" s="407">
        <f>D7</f>
        <v>43622</v>
      </c>
      <c r="F58" s="408"/>
      <c r="G58" s="75"/>
      <c r="H58" s="75"/>
      <c r="I58" s="75"/>
    </row>
    <row r="59" spans="1:9" ht="12.75" customHeight="1">
      <c r="A59" s="255"/>
      <c r="B59" s="255"/>
      <c r="C59" s="255"/>
      <c r="D59" s="255"/>
      <c r="E59" s="189"/>
      <c r="F59" s="189"/>
      <c r="G59" s="75"/>
      <c r="H59" s="75"/>
      <c r="I59" s="75"/>
    </row>
    <row r="60" spans="1:9" ht="12.75" customHeight="1">
      <c r="A60" s="255"/>
      <c r="B60" s="255"/>
      <c r="C60" s="255"/>
      <c r="D60" s="255"/>
      <c r="E60" s="75"/>
      <c r="F60" s="75"/>
      <c r="G60" s="75"/>
      <c r="H60" s="75"/>
      <c r="I60" s="75"/>
    </row>
    <row r="61" spans="1:9" ht="12.75" customHeight="1">
      <c r="A61" s="189" t="s">
        <v>507</v>
      </c>
      <c r="B61" s="409" t="str">
        <f>IF(登!$D$1="",""," "&amp;VLOOKUP(登!$D$1,名!$G$2:$J$54,3,0))</f>
        <v/>
      </c>
      <c r="C61" s="409"/>
      <c r="D61" s="409"/>
      <c r="E61" s="189" t="s">
        <v>199</v>
      </c>
      <c r="F61" s="241" t="s">
        <v>529</v>
      </c>
      <c r="G61" s="254" t="s">
        <v>511</v>
      </c>
      <c r="H61" s="75"/>
      <c r="I61" s="75"/>
    </row>
    <row r="62" spans="1:9" ht="12.75" customHeight="1">
      <c r="A62" s="75"/>
      <c r="B62" s="75"/>
      <c r="C62" s="75"/>
      <c r="D62" s="75"/>
      <c r="E62" s="75"/>
      <c r="F62" s="75"/>
      <c r="G62" s="75"/>
      <c r="H62" s="74"/>
      <c r="I62" s="75"/>
    </row>
    <row r="63" spans="1:9" ht="12.75" customHeight="1">
      <c r="A63" s="75"/>
      <c r="B63" s="75"/>
      <c r="C63" s="75"/>
      <c r="D63" s="75"/>
      <c r="E63" s="75"/>
      <c r="F63" s="75"/>
      <c r="G63" s="75"/>
      <c r="H63" s="74"/>
      <c r="I63" s="75"/>
    </row>
    <row r="64" spans="1:9" ht="12.75" customHeight="1">
      <c r="A64" s="189" t="s">
        <v>510</v>
      </c>
      <c r="B64" s="409" t="str">
        <f>IF(登!$D$1="",""," "&amp;VLOOKUP(登!$D$1,名!$G$2:$J$54,4,0))</f>
        <v/>
      </c>
      <c r="C64" s="409"/>
      <c r="D64" s="409"/>
      <c r="E64" s="189" t="s">
        <v>509</v>
      </c>
      <c r="F64" s="241" t="s">
        <v>529</v>
      </c>
      <c r="G64" s="254" t="s">
        <v>511</v>
      </c>
      <c r="H64" s="74"/>
      <c r="I64" s="75"/>
    </row>
    <row r="65" spans="1:10" ht="12.75" customHeight="1">
      <c r="H65" s="143"/>
    </row>
    <row r="66" spans="1:10" ht="12.75" customHeight="1">
      <c r="H66" s="143"/>
    </row>
    <row r="67" spans="1:10" ht="22.5" customHeight="1">
      <c r="A67" s="191"/>
      <c r="B67" s="256">
        <f>B2</f>
        <v>2</v>
      </c>
      <c r="C67" s="398" t="str">
        <f>C2</f>
        <v>令和元年度県高校弓道選手権大会（兼）全国高校総体弓道県予選会</v>
      </c>
      <c r="D67" s="399"/>
      <c r="E67" s="399"/>
      <c r="F67" s="399"/>
      <c r="G67" s="400"/>
      <c r="H67" s="192"/>
      <c r="I67" s="191"/>
    </row>
    <row r="68" spans="1:10" ht="12.75" customHeight="1">
      <c r="A68" s="191"/>
      <c r="B68" s="193"/>
      <c r="C68" s="193"/>
      <c r="D68" s="194"/>
      <c r="E68" s="194"/>
      <c r="F68" s="194"/>
      <c r="G68" s="195"/>
      <c r="H68" s="192"/>
      <c r="I68" s="191"/>
    </row>
    <row r="69" spans="1:10" ht="12.75" customHeight="1">
      <c r="A69" s="191"/>
      <c r="B69" s="401" t="s">
        <v>11</v>
      </c>
      <c r="C69" s="401"/>
      <c r="D69" s="402" t="str">
        <f>D4</f>
        <v>○　○　○　○</v>
      </c>
      <c r="E69" s="403"/>
      <c r="F69" s="404"/>
      <c r="G69" s="405" t="s">
        <v>205</v>
      </c>
      <c r="H69" s="406"/>
      <c r="I69" s="196">
        <f>I4</f>
        <v>0</v>
      </c>
      <c r="J69" s="142"/>
    </row>
    <row r="70" spans="1:10" ht="12.75" customHeight="1">
      <c r="A70" s="191"/>
      <c r="B70" s="193"/>
      <c r="C70" s="193"/>
      <c r="D70" s="194"/>
      <c r="E70" s="194"/>
      <c r="F70" s="194"/>
      <c r="G70" s="194"/>
      <c r="H70" s="192"/>
      <c r="I70" s="191"/>
    </row>
    <row r="71" spans="1:10" ht="12.75" customHeight="1">
      <c r="A71" s="191"/>
      <c r="B71" s="388" t="s">
        <v>39</v>
      </c>
      <c r="C71" s="388"/>
      <c r="D71" s="397">
        <f>D6</f>
        <v>6</v>
      </c>
      <c r="E71" s="397"/>
      <c r="F71" s="397"/>
      <c r="G71" s="397"/>
      <c r="H71" s="192"/>
      <c r="I71" s="191"/>
    </row>
    <row r="72" spans="1:10" ht="12.75" customHeight="1">
      <c r="A72" s="191"/>
      <c r="B72" s="388" t="s">
        <v>40</v>
      </c>
      <c r="C72" s="388"/>
      <c r="D72" s="389">
        <f>D7</f>
        <v>43622</v>
      </c>
      <c r="E72" s="390"/>
      <c r="F72" s="391" t="str">
        <f>F7</f>
        <v>木曜日　１６時</v>
      </c>
      <c r="G72" s="392"/>
      <c r="H72" s="192"/>
      <c r="I72" s="191"/>
    </row>
    <row r="73" spans="1:10" ht="12.75" customHeight="1">
      <c r="A73" s="191"/>
      <c r="B73" s="388" t="s">
        <v>38</v>
      </c>
      <c r="C73" s="388"/>
      <c r="D73" s="389">
        <f>D8</f>
        <v>43630</v>
      </c>
      <c r="E73" s="390"/>
      <c r="F73" s="391" t="str">
        <f>F8</f>
        <v>金曜日</v>
      </c>
      <c r="G73" s="392"/>
      <c r="H73" s="192"/>
      <c r="I73" s="191"/>
    </row>
    <row r="74" spans="1:10" ht="12.75" customHeight="1">
      <c r="A74" s="191"/>
      <c r="B74" s="388" t="s">
        <v>41</v>
      </c>
      <c r="C74" s="388"/>
      <c r="D74" s="393" t="s">
        <v>45</v>
      </c>
      <c r="E74" s="394"/>
      <c r="F74" s="395" t="s">
        <v>46</v>
      </c>
      <c r="G74" s="396"/>
      <c r="H74" s="192"/>
      <c r="I74" s="191"/>
    </row>
    <row r="75" spans="1:10" ht="12.75" customHeight="1">
      <c r="A75" s="191"/>
      <c r="B75" s="197"/>
      <c r="C75" s="197"/>
      <c r="D75" s="195"/>
      <c r="E75" s="195"/>
      <c r="F75" s="195"/>
      <c r="G75" s="195"/>
      <c r="H75" s="192"/>
      <c r="I75" s="191"/>
    </row>
    <row r="76" spans="1:10" ht="22.5" customHeight="1">
      <c r="B76" s="414" t="str">
        <f>B11</f>
        <v>女　子　団　体　参　加　申　込　書</v>
      </c>
      <c r="C76" s="414"/>
      <c r="D76" s="414"/>
      <c r="E76" s="414"/>
      <c r="F76" s="414"/>
      <c r="G76" s="414"/>
      <c r="I76" s="191"/>
    </row>
    <row r="77" spans="1:10" ht="12.75" customHeight="1">
      <c r="A77" s="252" t="s">
        <v>32</v>
      </c>
      <c r="B77" s="148" t="s">
        <v>18</v>
      </c>
      <c r="C77" s="149" t="s">
        <v>10</v>
      </c>
      <c r="D77" s="150" t="s">
        <v>33</v>
      </c>
      <c r="E77" s="151" t="s">
        <v>12</v>
      </c>
      <c r="F77" s="152" t="s">
        <v>13</v>
      </c>
      <c r="G77" s="153" t="s">
        <v>14</v>
      </c>
      <c r="H77" s="252" t="s">
        <v>47</v>
      </c>
      <c r="I77" s="191"/>
    </row>
    <row r="78" spans="1:10" ht="12.75" customHeight="1">
      <c r="A78" s="154" t="str">
        <f>IF(A13="","",A13)</f>
        <v/>
      </c>
      <c r="B78" s="155" t="str">
        <f t="shared" ref="B78:H78" si="1">IF(B13="","",B13)</f>
        <v>Ａ</v>
      </c>
      <c r="C78" s="185" t="str">
        <f t="shared" si="1"/>
        <v/>
      </c>
      <c r="D78" s="139" t="str">
        <f t="shared" si="1"/>
        <v/>
      </c>
      <c r="E78" s="185">
        <f t="shared" si="1"/>
        <v>1</v>
      </c>
      <c r="F78" s="158" t="str">
        <f t="shared" si="1"/>
        <v/>
      </c>
      <c r="G78" s="159" t="str">
        <f t="shared" si="1"/>
        <v/>
      </c>
      <c r="H78" s="159" t="str">
        <f t="shared" si="1"/>
        <v/>
      </c>
      <c r="I78" s="191"/>
    </row>
    <row r="79" spans="1:10" ht="12.75" customHeight="1">
      <c r="A79" s="160" t="str">
        <f t="shared" ref="A79:H84" si="2">IF(A14="","",A14)</f>
        <v/>
      </c>
      <c r="B79" s="161" t="str">
        <f t="shared" si="2"/>
        <v>Ａ</v>
      </c>
      <c r="C79" s="186" t="str">
        <f t="shared" si="2"/>
        <v/>
      </c>
      <c r="D79" s="140" t="str">
        <f t="shared" si="2"/>
        <v/>
      </c>
      <c r="E79" s="186">
        <f t="shared" si="2"/>
        <v>2</v>
      </c>
      <c r="F79" s="164" t="str">
        <f t="shared" si="2"/>
        <v/>
      </c>
      <c r="G79" s="165" t="str">
        <f t="shared" si="2"/>
        <v/>
      </c>
      <c r="H79" s="165" t="str">
        <f t="shared" si="2"/>
        <v/>
      </c>
      <c r="I79" s="191"/>
    </row>
    <row r="80" spans="1:10" ht="12.75" customHeight="1">
      <c r="A80" s="160" t="str">
        <f t="shared" si="2"/>
        <v/>
      </c>
      <c r="B80" s="161" t="str">
        <f t="shared" si="2"/>
        <v>Ａ</v>
      </c>
      <c r="C80" s="186" t="str">
        <f t="shared" si="2"/>
        <v/>
      </c>
      <c r="D80" s="140" t="str">
        <f t="shared" si="2"/>
        <v/>
      </c>
      <c r="E80" s="186">
        <f t="shared" si="2"/>
        <v>3</v>
      </c>
      <c r="F80" s="164" t="str">
        <f t="shared" si="2"/>
        <v/>
      </c>
      <c r="G80" s="165" t="str">
        <f t="shared" si="2"/>
        <v/>
      </c>
      <c r="H80" s="165" t="str">
        <f t="shared" si="2"/>
        <v/>
      </c>
      <c r="I80" s="191"/>
    </row>
    <row r="81" spans="1:9" ht="12.75" customHeight="1">
      <c r="A81" s="160" t="str">
        <f t="shared" si="2"/>
        <v/>
      </c>
      <c r="B81" s="161" t="str">
        <f t="shared" si="2"/>
        <v>Ａ</v>
      </c>
      <c r="C81" s="186" t="str">
        <f t="shared" si="2"/>
        <v/>
      </c>
      <c r="D81" s="140" t="str">
        <f t="shared" si="2"/>
        <v/>
      </c>
      <c r="E81" s="186">
        <f t="shared" si="2"/>
        <v>4</v>
      </c>
      <c r="F81" s="164" t="str">
        <f t="shared" si="2"/>
        <v/>
      </c>
      <c r="G81" s="165" t="str">
        <f t="shared" si="2"/>
        <v/>
      </c>
      <c r="H81" s="165" t="str">
        <f t="shared" si="2"/>
        <v/>
      </c>
      <c r="I81" s="191"/>
    </row>
    <row r="82" spans="1:9" ht="12.75" customHeight="1">
      <c r="A82" s="160" t="str">
        <f t="shared" si="2"/>
        <v/>
      </c>
      <c r="B82" s="161" t="str">
        <f t="shared" si="2"/>
        <v>Ａ</v>
      </c>
      <c r="C82" s="186" t="str">
        <f t="shared" si="2"/>
        <v/>
      </c>
      <c r="D82" s="140" t="str">
        <f t="shared" si="2"/>
        <v/>
      </c>
      <c r="E82" s="186">
        <f t="shared" si="2"/>
        <v>5</v>
      </c>
      <c r="F82" s="164" t="str">
        <f t="shared" si="2"/>
        <v/>
      </c>
      <c r="G82" s="165" t="str">
        <f t="shared" si="2"/>
        <v/>
      </c>
      <c r="H82" s="165" t="str">
        <f t="shared" si="2"/>
        <v/>
      </c>
      <c r="I82" s="191"/>
    </row>
    <row r="83" spans="1:9" ht="12.75" customHeight="1">
      <c r="A83" s="175" t="str">
        <f t="shared" si="2"/>
        <v/>
      </c>
      <c r="B83" s="176" t="str">
        <f t="shared" si="2"/>
        <v>Ａ</v>
      </c>
      <c r="C83" s="187" t="str">
        <f t="shared" si="2"/>
        <v/>
      </c>
      <c r="D83" s="141" t="str">
        <f t="shared" si="2"/>
        <v/>
      </c>
      <c r="E83" s="187">
        <f t="shared" si="2"/>
        <v>6</v>
      </c>
      <c r="F83" s="188" t="str">
        <f t="shared" si="2"/>
        <v/>
      </c>
      <c r="G83" s="181" t="str">
        <f t="shared" si="2"/>
        <v/>
      </c>
      <c r="H83" s="181" t="str">
        <f t="shared" si="2"/>
        <v/>
      </c>
      <c r="I83" s="191"/>
    </row>
    <row r="84" spans="1:9" ht="12.75" customHeight="1">
      <c r="A84" s="175" t="str">
        <f t="shared" si="2"/>
        <v/>
      </c>
      <c r="B84" s="176" t="str">
        <f t="shared" si="2"/>
        <v>Ａ</v>
      </c>
      <c r="C84" s="187" t="str">
        <f t="shared" si="2"/>
        <v/>
      </c>
      <c r="D84" s="141" t="str">
        <f t="shared" si="2"/>
        <v/>
      </c>
      <c r="E84" s="187">
        <f t="shared" si="2"/>
        <v>6</v>
      </c>
      <c r="F84" s="180" t="str">
        <f t="shared" si="2"/>
        <v/>
      </c>
      <c r="G84" s="181" t="str">
        <f t="shared" si="2"/>
        <v/>
      </c>
      <c r="H84" s="242" t="str">
        <f t="shared" si="2"/>
        <v/>
      </c>
      <c r="I84" s="191"/>
    </row>
    <row r="85" spans="1:9" ht="12.75" customHeight="1">
      <c r="B85" s="183" t="str">
        <f t="shared" ref="B85" si="3">B20</f>
        <v>（６は補欠です）</v>
      </c>
      <c r="C85" s="184"/>
      <c r="D85" s="184"/>
      <c r="E85" s="184"/>
      <c r="F85" s="184"/>
      <c r="G85" s="184"/>
      <c r="I85" s="191"/>
    </row>
    <row r="86" spans="1:9" ht="12.75" customHeight="1">
      <c r="A86" s="243"/>
      <c r="B86" s="243"/>
      <c r="C86" s="243"/>
      <c r="D86" s="244"/>
      <c r="E86" s="243"/>
      <c r="F86" s="245"/>
      <c r="G86" s="243"/>
      <c r="H86" s="243"/>
      <c r="I86" s="191"/>
    </row>
    <row r="87" spans="1:9" ht="12.75" customHeight="1">
      <c r="A87" s="243"/>
      <c r="B87" s="243"/>
      <c r="C87" s="243"/>
      <c r="D87" s="244"/>
      <c r="E87" s="243"/>
      <c r="F87" s="245"/>
      <c r="G87" s="243"/>
      <c r="H87" s="243"/>
      <c r="I87" s="191"/>
    </row>
    <row r="88" spans="1:9" ht="12.75" customHeight="1">
      <c r="A88" s="246"/>
      <c r="B88" s="247"/>
      <c r="C88" s="246"/>
      <c r="D88" s="246"/>
      <c r="E88" s="246"/>
      <c r="F88" s="246"/>
      <c r="G88" s="246"/>
      <c r="H88" s="243"/>
      <c r="I88" s="191"/>
    </row>
    <row r="89" spans="1:9" ht="12.75" customHeight="1">
      <c r="A89" s="191"/>
      <c r="B89" s="247"/>
      <c r="C89" s="246"/>
      <c r="D89" s="246"/>
      <c r="E89" s="246"/>
      <c r="F89" s="246"/>
      <c r="G89" s="246"/>
      <c r="H89" s="192"/>
      <c r="I89" s="191"/>
    </row>
    <row r="90" spans="1:9" ht="12.75" customHeight="1">
      <c r="A90" s="246"/>
      <c r="B90" s="248"/>
      <c r="C90" s="248"/>
      <c r="D90" s="248"/>
      <c r="E90" s="248"/>
      <c r="F90" s="248"/>
      <c r="G90" s="248"/>
      <c r="H90" s="243"/>
      <c r="I90" s="191"/>
    </row>
    <row r="91" spans="1:9" ht="12.75" customHeight="1">
      <c r="A91" s="243"/>
      <c r="B91" s="243"/>
      <c r="C91" s="243"/>
      <c r="D91" s="244"/>
      <c r="E91" s="243"/>
      <c r="F91" s="243"/>
      <c r="G91" s="243"/>
      <c r="H91" s="243"/>
      <c r="I91" s="191"/>
    </row>
    <row r="92" spans="1:9" ht="12.75" customHeight="1">
      <c r="A92" s="243"/>
      <c r="B92" s="243"/>
      <c r="C92" s="243"/>
      <c r="D92" s="244"/>
      <c r="E92" s="243"/>
      <c r="F92" s="246"/>
      <c r="G92" s="243"/>
      <c r="H92" s="243"/>
      <c r="I92" s="191"/>
    </row>
    <row r="93" spans="1:9" ht="12.75" customHeight="1">
      <c r="A93" s="243"/>
      <c r="B93" s="243"/>
      <c r="C93" s="243"/>
      <c r="D93" s="244"/>
      <c r="E93" s="243"/>
      <c r="F93" s="246"/>
      <c r="G93" s="243"/>
      <c r="H93" s="243"/>
      <c r="I93" s="191"/>
    </row>
    <row r="94" spans="1:9" ht="12.75" customHeight="1">
      <c r="A94" s="243"/>
      <c r="B94" s="243"/>
      <c r="C94" s="243"/>
      <c r="D94" s="244"/>
      <c r="E94" s="243"/>
      <c r="F94" s="246"/>
      <c r="G94" s="243"/>
      <c r="H94" s="243"/>
      <c r="I94" s="191"/>
    </row>
    <row r="95" spans="1:9" ht="12.75" customHeight="1">
      <c r="A95" s="243"/>
      <c r="B95" s="243"/>
      <c r="C95" s="243"/>
      <c r="D95" s="244"/>
      <c r="E95" s="243"/>
      <c r="F95" s="246"/>
      <c r="G95" s="243"/>
      <c r="H95" s="243"/>
      <c r="I95" s="191"/>
    </row>
    <row r="96" spans="1:9" ht="12.75" customHeight="1">
      <c r="A96" s="243"/>
      <c r="B96" s="243"/>
      <c r="C96" s="243"/>
      <c r="D96" s="244"/>
      <c r="E96" s="243"/>
      <c r="F96" s="246"/>
      <c r="G96" s="243"/>
      <c r="H96" s="243"/>
      <c r="I96" s="191"/>
    </row>
    <row r="97" spans="1:11" ht="12.75" customHeight="1">
      <c r="A97" s="243"/>
      <c r="B97" s="243"/>
      <c r="C97" s="243"/>
      <c r="D97" s="244"/>
      <c r="E97" s="243"/>
      <c r="F97" s="246"/>
      <c r="G97" s="243"/>
      <c r="H97" s="243"/>
      <c r="I97" s="191"/>
    </row>
    <row r="98" spans="1:11" ht="12.75" customHeight="1">
      <c r="A98" s="243"/>
      <c r="B98" s="243"/>
      <c r="C98" s="243"/>
      <c r="D98" s="244"/>
      <c r="E98" s="243"/>
      <c r="F98" s="246"/>
      <c r="G98" s="243"/>
      <c r="H98" s="243"/>
      <c r="I98" s="191"/>
    </row>
    <row r="99" spans="1:11" ht="12.75" customHeight="1">
      <c r="A99" s="243"/>
      <c r="B99" s="243"/>
      <c r="C99" s="243"/>
      <c r="D99" s="244"/>
      <c r="E99" s="243"/>
      <c r="F99" s="246"/>
      <c r="G99" s="243"/>
      <c r="H99" s="243"/>
      <c r="I99" s="191"/>
    </row>
    <row r="100" spans="1:11" ht="12.75" customHeight="1">
      <c r="A100" s="243"/>
      <c r="B100" s="243"/>
      <c r="C100" s="243"/>
      <c r="D100" s="244"/>
      <c r="E100" s="243"/>
      <c r="F100" s="246"/>
      <c r="G100" s="243"/>
      <c r="H100" s="243"/>
      <c r="I100" s="191"/>
      <c r="K100" s="147"/>
    </row>
    <row r="101" spans="1:11" ht="12.75" customHeight="1">
      <c r="A101" s="243"/>
      <c r="B101" s="243"/>
      <c r="C101" s="243"/>
      <c r="D101" s="244"/>
      <c r="E101" s="243"/>
      <c r="F101" s="246"/>
      <c r="G101" s="243"/>
      <c r="H101" s="243"/>
      <c r="I101" s="191"/>
      <c r="K101" s="147"/>
    </row>
    <row r="102" spans="1:11" ht="12.75" customHeight="1">
      <c r="A102" s="243"/>
      <c r="B102" s="243"/>
      <c r="C102" s="243"/>
      <c r="D102" s="244"/>
      <c r="E102" s="243"/>
      <c r="F102" s="246"/>
      <c r="G102" s="243"/>
      <c r="H102" s="243"/>
      <c r="I102" s="191"/>
      <c r="K102" s="147"/>
    </row>
    <row r="103" spans="1:11" ht="12.75" customHeight="1">
      <c r="A103" s="243"/>
      <c r="B103" s="243"/>
      <c r="C103" s="243"/>
      <c r="D103" s="244"/>
      <c r="E103" s="243"/>
      <c r="F103" s="246"/>
      <c r="G103" s="243"/>
      <c r="H103" s="243"/>
      <c r="I103" s="191"/>
      <c r="K103" s="147"/>
    </row>
    <row r="104" spans="1:11" ht="12.75" customHeight="1">
      <c r="A104" s="243"/>
      <c r="B104" s="243"/>
      <c r="C104" s="243"/>
      <c r="D104" s="244"/>
      <c r="E104" s="243"/>
      <c r="F104" s="246"/>
      <c r="G104" s="243"/>
      <c r="H104" s="243"/>
      <c r="I104" s="191"/>
      <c r="K104" s="147"/>
    </row>
    <row r="105" spans="1:11" ht="12.75" customHeight="1">
      <c r="A105" s="243"/>
      <c r="B105" s="243"/>
      <c r="C105" s="243"/>
      <c r="D105" s="244"/>
      <c r="E105" s="243"/>
      <c r="F105" s="246"/>
      <c r="G105" s="243"/>
      <c r="H105" s="243"/>
      <c r="I105" s="191"/>
    </row>
    <row r="106" spans="1:11" ht="12.75" customHeight="1">
      <c r="A106" s="243"/>
      <c r="B106" s="243"/>
      <c r="C106" s="243"/>
      <c r="D106" s="244"/>
      <c r="E106" s="243"/>
      <c r="F106" s="246"/>
      <c r="G106" s="243"/>
      <c r="H106" s="243"/>
      <c r="I106" s="191"/>
    </row>
    <row r="107" spans="1:11" ht="12.75" customHeight="1">
      <c r="A107" s="243"/>
      <c r="B107" s="243"/>
      <c r="C107" s="243"/>
      <c r="D107" s="244"/>
      <c r="E107" s="243"/>
      <c r="F107" s="246"/>
      <c r="G107" s="243"/>
      <c r="H107" s="243"/>
      <c r="I107" s="191"/>
    </row>
    <row r="108" spans="1:11" ht="12.75" customHeight="1">
      <c r="A108" s="243"/>
      <c r="B108" s="243"/>
      <c r="C108" s="243"/>
      <c r="D108" s="244"/>
      <c r="E108" s="243"/>
      <c r="F108" s="246"/>
      <c r="G108" s="243"/>
      <c r="H108" s="243"/>
      <c r="I108" s="191"/>
    </row>
    <row r="109" spans="1:11" ht="12.75" customHeight="1">
      <c r="A109" s="243"/>
      <c r="B109" s="243"/>
      <c r="C109" s="243"/>
      <c r="D109" s="244"/>
      <c r="E109" s="243"/>
      <c r="F109" s="246"/>
      <c r="G109" s="243"/>
      <c r="H109" s="243"/>
      <c r="I109" s="191"/>
    </row>
    <row r="110" spans="1:11" ht="12.75" customHeight="1">
      <c r="A110" s="243"/>
      <c r="B110" s="243"/>
      <c r="C110" s="243"/>
      <c r="D110" s="244"/>
      <c r="E110" s="243"/>
      <c r="F110" s="246"/>
      <c r="G110" s="243"/>
      <c r="H110" s="243"/>
      <c r="I110" s="191"/>
    </row>
    <row r="111" spans="1:11" ht="12.75" customHeight="1">
      <c r="A111" s="243"/>
      <c r="B111" s="243"/>
      <c r="C111" s="243"/>
      <c r="D111" s="244"/>
      <c r="E111" s="243"/>
      <c r="F111" s="246"/>
      <c r="G111" s="243"/>
      <c r="H111" s="243"/>
      <c r="I111" s="191"/>
    </row>
    <row r="112" spans="1:11" ht="12.75" customHeight="1">
      <c r="A112" s="243"/>
      <c r="B112" s="243"/>
      <c r="C112" s="243"/>
      <c r="D112" s="244"/>
      <c r="E112" s="243"/>
      <c r="F112" s="246"/>
      <c r="G112" s="243"/>
      <c r="H112" s="243"/>
      <c r="I112" s="191"/>
    </row>
    <row r="113" spans="1:9" ht="12.75" customHeight="1">
      <c r="A113" s="243"/>
      <c r="B113" s="243"/>
      <c r="C113" s="243"/>
      <c r="D113" s="244"/>
      <c r="E113" s="243"/>
      <c r="F113" s="246"/>
      <c r="G113" s="243"/>
      <c r="H113" s="243"/>
      <c r="I113" s="191"/>
    </row>
    <row r="114" spans="1:9" ht="12.75" customHeight="1">
      <c r="A114" s="243"/>
      <c r="B114" s="243"/>
      <c r="C114" s="243"/>
      <c r="D114" s="244"/>
      <c r="E114" s="243"/>
      <c r="F114" s="246"/>
      <c r="G114" s="243"/>
      <c r="H114" s="243"/>
      <c r="I114" s="191"/>
    </row>
    <row r="115" spans="1:9" ht="12.75" customHeight="1">
      <c r="A115" s="243"/>
      <c r="B115" s="243"/>
      <c r="C115" s="243"/>
      <c r="D115" s="244"/>
      <c r="E115" s="243"/>
      <c r="F115" s="246"/>
      <c r="G115" s="243"/>
      <c r="H115" s="243"/>
      <c r="I115" s="191"/>
    </row>
    <row r="116" spans="1:9" ht="12.75" customHeight="1">
      <c r="A116" s="243"/>
      <c r="B116" s="243"/>
      <c r="C116" s="243"/>
      <c r="D116" s="244"/>
      <c r="E116" s="243"/>
      <c r="F116" s="246"/>
      <c r="G116" s="243"/>
      <c r="H116" s="243"/>
      <c r="I116" s="191"/>
    </row>
    <row r="117" spans="1:9" ht="12.75" customHeight="1">
      <c r="A117" s="243"/>
      <c r="B117" s="243"/>
      <c r="C117" s="243"/>
      <c r="D117" s="244"/>
      <c r="E117" s="243"/>
      <c r="F117" s="246"/>
      <c r="G117" s="243"/>
      <c r="H117" s="243"/>
      <c r="I117" s="191"/>
    </row>
    <row r="118" spans="1:9" ht="12.75" customHeight="1">
      <c r="A118" s="243"/>
      <c r="B118" s="243"/>
      <c r="C118" s="243"/>
      <c r="D118" s="244"/>
      <c r="E118" s="243"/>
      <c r="F118" s="246"/>
      <c r="G118" s="243"/>
      <c r="H118" s="243"/>
      <c r="I118" s="191"/>
    </row>
    <row r="119" spans="1:9" ht="12.75" customHeight="1">
      <c r="A119" s="243"/>
      <c r="B119" s="243"/>
      <c r="C119" s="243"/>
      <c r="D119" s="244"/>
      <c r="E119" s="243"/>
      <c r="F119" s="246"/>
      <c r="G119" s="243"/>
      <c r="H119" s="243"/>
      <c r="I119" s="191"/>
    </row>
    <row r="120" spans="1:9" ht="12.75" customHeight="1">
      <c r="A120" s="243"/>
      <c r="B120" s="243"/>
      <c r="C120" s="243"/>
      <c r="D120" s="244"/>
      <c r="E120" s="243"/>
      <c r="F120" s="246"/>
      <c r="G120" s="243"/>
      <c r="H120" s="243"/>
      <c r="I120" s="191"/>
    </row>
    <row r="121" spans="1:9" ht="12.75" customHeight="1">
      <c r="A121" s="243"/>
      <c r="B121" s="243"/>
      <c r="C121" s="243"/>
      <c r="D121" s="244"/>
      <c r="E121" s="243"/>
      <c r="F121" s="246"/>
      <c r="G121" s="243"/>
      <c r="H121" s="243"/>
      <c r="I121" s="191"/>
    </row>
    <row r="122" spans="1:9" ht="12.75" customHeight="1">
      <c r="A122" s="191"/>
      <c r="B122" s="191"/>
      <c r="C122" s="191"/>
      <c r="D122" s="191"/>
      <c r="E122" s="191"/>
      <c r="F122" s="191"/>
      <c r="G122" s="191"/>
      <c r="H122" s="192"/>
      <c r="I122" s="191"/>
    </row>
    <row r="123" spans="1:9" s="75" customFormat="1" ht="12.75" customHeight="1">
      <c r="A123" s="385" t="s">
        <v>406</v>
      </c>
      <c r="B123" s="385"/>
      <c r="C123" s="385"/>
      <c r="D123" s="385"/>
      <c r="E123" s="386">
        <f>E58</f>
        <v>43622</v>
      </c>
      <c r="F123" s="387"/>
      <c r="G123" s="238"/>
      <c r="H123" s="238"/>
      <c r="I123" s="238"/>
    </row>
    <row r="124" spans="1:9" s="75" customFormat="1" ht="12.75" customHeight="1">
      <c r="A124" s="258"/>
      <c r="B124" s="258"/>
      <c r="C124" s="258"/>
      <c r="D124" s="258"/>
      <c r="E124" s="239"/>
      <c r="F124" s="239"/>
      <c r="G124" s="238"/>
      <c r="H124" s="238"/>
      <c r="I124" s="238"/>
    </row>
    <row r="125" spans="1:9" s="75" customFormat="1" ht="12.75" customHeight="1">
      <c r="A125" s="258"/>
      <c r="B125" s="258"/>
      <c r="C125" s="258"/>
      <c r="D125" s="258"/>
      <c r="E125" s="238"/>
      <c r="F125" s="238"/>
      <c r="G125" s="238"/>
      <c r="H125" s="238"/>
      <c r="I125" s="238"/>
    </row>
    <row r="126" spans="1:9" s="75" customFormat="1" ht="12.75" customHeight="1">
      <c r="A126" s="239" t="s">
        <v>507</v>
      </c>
      <c r="B126" s="383" t="str">
        <f>B61</f>
        <v/>
      </c>
      <c r="C126" s="383"/>
      <c r="D126" s="383"/>
      <c r="E126" s="239" t="s">
        <v>199</v>
      </c>
      <c r="F126" s="249" t="str">
        <f>F61</f>
        <v xml:space="preserve">○　○　○　○　 </v>
      </c>
      <c r="G126" s="257" t="s">
        <v>511</v>
      </c>
      <c r="H126" s="238"/>
      <c r="I126" s="238"/>
    </row>
    <row r="127" spans="1:9" s="75" customFormat="1" ht="12.75" customHeight="1">
      <c r="A127" s="238"/>
      <c r="B127" s="238"/>
      <c r="C127" s="238"/>
      <c r="D127" s="238"/>
      <c r="E127" s="238"/>
      <c r="F127" s="238"/>
      <c r="G127" s="238"/>
      <c r="H127" s="240"/>
      <c r="I127" s="238"/>
    </row>
    <row r="128" spans="1:9" s="75" customFormat="1" ht="12.75" customHeight="1">
      <c r="A128" s="238"/>
      <c r="B128" s="238"/>
      <c r="C128" s="238"/>
      <c r="D128" s="238"/>
      <c r="E128" s="238"/>
      <c r="F128" s="238"/>
      <c r="G128" s="238"/>
      <c r="H128" s="240"/>
      <c r="I128" s="238"/>
    </row>
    <row r="129" spans="1:9" s="75" customFormat="1" ht="12.75" customHeight="1">
      <c r="A129" s="239" t="s">
        <v>510</v>
      </c>
      <c r="B129" s="383" t="str">
        <f>B64</f>
        <v/>
      </c>
      <c r="C129" s="383"/>
      <c r="D129" s="383"/>
      <c r="E129" s="239" t="s">
        <v>509</v>
      </c>
      <c r="F129" s="249" t="str">
        <f>F64</f>
        <v xml:space="preserve">○　○　○　○　 </v>
      </c>
      <c r="G129" s="257" t="s">
        <v>511</v>
      </c>
      <c r="H129" s="240"/>
      <c r="I129" s="238"/>
    </row>
    <row r="130" spans="1:9" ht="12.75" customHeight="1"/>
  </sheetData>
  <sheetProtection password="CC71" sheet="1" objects="1" scenarios="1"/>
  <mergeCells count="43">
    <mergeCell ref="K2:K3"/>
    <mergeCell ref="L2:L3"/>
    <mergeCell ref="B4:C4"/>
    <mergeCell ref="D4:F4"/>
    <mergeCell ref="G4:H4"/>
    <mergeCell ref="B8:C8"/>
    <mergeCell ref="D8:E8"/>
    <mergeCell ref="F8:G8"/>
    <mergeCell ref="A2:A4"/>
    <mergeCell ref="C2:G2"/>
    <mergeCell ref="B6:C6"/>
    <mergeCell ref="D6:G6"/>
    <mergeCell ref="B7:C7"/>
    <mergeCell ref="D7:E7"/>
    <mergeCell ref="F7:G7"/>
    <mergeCell ref="B9:C9"/>
    <mergeCell ref="D9:E9"/>
    <mergeCell ref="F9:G9"/>
    <mergeCell ref="B11:G11"/>
    <mergeCell ref="A58:D58"/>
    <mergeCell ref="E58:F58"/>
    <mergeCell ref="B73:C73"/>
    <mergeCell ref="D73:E73"/>
    <mergeCell ref="F73:G73"/>
    <mergeCell ref="B61:D61"/>
    <mergeCell ref="B64:D64"/>
    <mergeCell ref="C67:G67"/>
    <mergeCell ref="B69:C69"/>
    <mergeCell ref="D69:F69"/>
    <mergeCell ref="G69:H69"/>
    <mergeCell ref="B71:C71"/>
    <mergeCell ref="D71:G71"/>
    <mergeCell ref="B72:C72"/>
    <mergeCell ref="D72:E72"/>
    <mergeCell ref="F72:G72"/>
    <mergeCell ref="B126:D126"/>
    <mergeCell ref="B129:D129"/>
    <mergeCell ref="B74:C74"/>
    <mergeCell ref="D74:E74"/>
    <mergeCell ref="F74:G74"/>
    <mergeCell ref="B76:G76"/>
    <mergeCell ref="A123:D123"/>
    <mergeCell ref="E123:F123"/>
  </mergeCells>
  <phoneticPr fontId="2"/>
  <dataValidations count="1">
    <dataValidation type="list" allowBlank="1" showInputMessage="1" showErrorMessage="1" errorTitle="個数エラー" error="0～2を入力" sqref="I4">
      <formula1>"0,1,2"</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8"/>
  </sheetPr>
  <dimension ref="A2:L130"/>
  <sheetViews>
    <sheetView zoomScaleNormal="100" workbookViewId="0"/>
  </sheetViews>
  <sheetFormatPr defaultColWidth="9" defaultRowHeight="12.75" customHeight="1"/>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9" width="4.25" style="143" customWidth="1"/>
    <col min="10" max="10" width="6.125" style="143" customWidth="1"/>
    <col min="11" max="16384" width="9" style="143"/>
  </cols>
  <sheetData>
    <row r="2" spans="1:12" ht="22.5" customHeight="1">
      <c r="A2" s="382" t="s">
        <v>518</v>
      </c>
      <c r="B2" s="252">
        <v>1</v>
      </c>
      <c r="C2" s="424" t="str">
        <f>日!B1&amp;"県高校弓道遠的大会"</f>
        <v>令和元年度県高校弓道遠的大会</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K4" s="62" t="s">
        <v>531</v>
      </c>
      <c r="L4" s="62" t="s">
        <v>532</v>
      </c>
    </row>
    <row r="5" spans="1:12" ht="12.75" customHeight="1">
      <c r="B5" s="144"/>
      <c r="C5" s="144"/>
      <c r="D5" s="145"/>
      <c r="E5" s="145"/>
      <c r="F5" s="145"/>
      <c r="G5" s="145"/>
      <c r="K5" s="253" t="str">
        <f>SUBSTITUTE(SUBSTITUTE(K4," ",""),"　","")</f>
        <v>○○</v>
      </c>
      <c r="L5" s="253" t="str">
        <f>SUBSTITUTE(SUBSTITUTE(L4," ",""),"　","")</f>
        <v>○○</v>
      </c>
    </row>
    <row r="6" spans="1:12" ht="12.75" customHeight="1">
      <c r="B6" s="411" t="s">
        <v>39</v>
      </c>
      <c r="C6" s="411"/>
      <c r="D6" s="427">
        <v>7</v>
      </c>
      <c r="E6" s="427"/>
      <c r="F6" s="427"/>
      <c r="G6" s="427"/>
      <c r="I6" s="147"/>
    </row>
    <row r="7" spans="1:12" ht="12.75" customHeight="1">
      <c r="B7" s="411" t="s">
        <v>40</v>
      </c>
      <c r="C7" s="411"/>
      <c r="D7" s="422">
        <f>VLOOKUP(D6,日!$B$2:$F$111,3,0)</f>
        <v>43636</v>
      </c>
      <c r="E7" s="423"/>
      <c r="F7" s="416" t="str">
        <f>TEXT(WEEKDAY(D7,1),"aaaa")&amp;"　１６時"</f>
        <v>木曜日　１６時</v>
      </c>
      <c r="G7" s="417"/>
      <c r="I7" s="147"/>
    </row>
    <row r="8" spans="1:12" ht="12.75" customHeight="1">
      <c r="B8" s="411" t="s">
        <v>38</v>
      </c>
      <c r="C8" s="411"/>
      <c r="D8" s="418">
        <f>VLOOKUP(D6,日!$B$2:$F$111,5,0)</f>
        <v>43645</v>
      </c>
      <c r="E8" s="419"/>
      <c r="F8" s="420" t="str">
        <f>TEXT(WEEKDAY(D8,1),"aaaa")</f>
        <v>土曜日</v>
      </c>
      <c r="G8" s="421"/>
      <c r="I8" s="147"/>
    </row>
    <row r="9" spans="1:12" ht="12.75" customHeight="1">
      <c r="B9" s="411" t="s">
        <v>41</v>
      </c>
      <c r="C9" s="411"/>
      <c r="D9" s="412" t="s">
        <v>45</v>
      </c>
      <c r="E9" s="413"/>
      <c r="F9" s="395" t="s">
        <v>46</v>
      </c>
      <c r="G9" s="396"/>
      <c r="I9" s="147"/>
    </row>
    <row r="10" spans="1:12" ht="12.75" customHeight="1">
      <c r="B10" s="147"/>
      <c r="C10" s="147"/>
      <c r="D10" s="146"/>
      <c r="E10" s="146"/>
      <c r="F10" s="146"/>
      <c r="G10" s="146"/>
      <c r="I10" s="147"/>
    </row>
    <row r="11" spans="1:12" ht="22.5" customHeight="1">
      <c r="B11" s="414" t="str">
        <f>IF(B2=1,"男　子　団　体　参　加　申　込　書","女　子　団　体　参　加　申　込　書")</f>
        <v>男　子　団　体　参　加　申　込　書</v>
      </c>
      <c r="C11" s="414"/>
      <c r="D11" s="414"/>
      <c r="E11" s="414"/>
      <c r="F11" s="414"/>
      <c r="G11" s="414"/>
    </row>
    <row r="12" spans="1:12" ht="12.75" customHeight="1">
      <c r="A12" s="252" t="s">
        <v>32</v>
      </c>
      <c r="B12" s="148" t="s">
        <v>51</v>
      </c>
      <c r="C12" s="149" t="s">
        <v>10</v>
      </c>
      <c r="D12" s="150" t="s">
        <v>33</v>
      </c>
      <c r="E12" s="151" t="s">
        <v>12</v>
      </c>
      <c r="F12" s="152" t="s">
        <v>13</v>
      </c>
      <c r="G12" s="153" t="s">
        <v>14</v>
      </c>
      <c r="H12" s="252" t="s">
        <v>47</v>
      </c>
    </row>
    <row r="13" spans="1:12" ht="12.75" customHeight="1">
      <c r="A13" s="154" t="str">
        <f>IF($B$2=1,IF($D$13="","",IF(COUNT($D$13:$D$16)=1,VLOOKUP(登!$D$1,立男!$A$4:$I$100,9,0)+100,VLOOKUP(登!$D$1,立男!$A$4:$I$100,9,0))),IF($D$13="","",IF(COUNT($D$13:$D$16)=1,VLOOKUP(登!$D$1,立女!$A$4:$I$100,9,0)+100,VLOOKUP(登!$D$1,立女!$A$4:$I$100,9,0))))</f>
        <v/>
      </c>
      <c r="B13" s="155" t="s">
        <v>16</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IF(D13="","",IF(COUNTIF($D$13:$D$20,D13)&gt;1,"選手重複!!","OK"))</f>
        <v/>
      </c>
    </row>
    <row r="14" spans="1:12" ht="12.75" customHeight="1">
      <c r="A14" s="160" t="str">
        <f>IF($B$2=1,IF($D$13="","",IF(COUNT($D$13:$D$16)=1,VLOOKUP(登!$D$1,立男!$A$4:$I$100,9,0)+100,VLOOKUP(登!$D$1,立男!$A$4:$I$100,9,0))),IF($D$13="","",IF(COUNT($D$13:$D$16)=1,VLOOKUP(登!$D$1,立女!$A$4:$I$100,9,0)+100,VLOOKUP(登!$D$1,立女!$A$4:$I$100,9,0))))</f>
        <v/>
      </c>
      <c r="B14" s="161" t="s">
        <v>16</v>
      </c>
      <c r="C14" s="186" t="str">
        <f>IF(D14="","",登!$F$1)</f>
        <v/>
      </c>
      <c r="D14" s="64"/>
      <c r="E14" s="186">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 t="shared" ref="H14:H20" si="0">IF(D14="","",IF(COUNTIF($D$13:$D$20,D14)&gt;1,"選手重複!!","OK"))</f>
        <v/>
      </c>
    </row>
    <row r="15" spans="1:12" ht="12.75" customHeight="1">
      <c r="A15" s="160" t="str">
        <f>IF($B$2=1,IF($D$13="","",IF(COUNT($D$13:$D$16)=1,VLOOKUP(登!$D$1,立男!$A$4:$I$100,9,0)+100,VLOOKUP(登!$D$1,立男!$A$4:$I$100,9,0))),IF($D$13="","",IF(COUNT($D$13:$D$16)=1,VLOOKUP(登!$D$1,立女!$A$4:$I$100,9,0)+100,VLOOKUP(登!$D$1,立女!$A$4:$I$100,9,0))))</f>
        <v/>
      </c>
      <c r="B15" s="161" t="s">
        <v>16</v>
      </c>
      <c r="C15" s="186" t="str">
        <f>IF(D15="","",登!$F$1)</f>
        <v/>
      </c>
      <c r="D15" s="64"/>
      <c r="E15" s="186">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5" t="str">
        <f t="shared" si="0"/>
        <v/>
      </c>
    </row>
    <row r="16" spans="1:12" ht="12.75" customHeight="1">
      <c r="A16" s="175" t="str">
        <f>IF($B$2=1,IF($D$13="","",IF(COUNT($D$13:$D$16)=1,VLOOKUP(登!$D$1,立男!$A$4:$I$100,9,0)+100,VLOOKUP(登!$D$1,立男!$A$4:$I$100,9,0))),IF($D$13="","",IF(COUNT($D$13:$D$16)=1,VLOOKUP(登!$D$1,立女!$A$4:$I$100,9,0)+100,VLOOKUP(登!$D$1,立女!$A$4:$I$100,9,0))))</f>
        <v/>
      </c>
      <c r="B16" s="176" t="s">
        <v>16</v>
      </c>
      <c r="C16" s="187" t="str">
        <f>IF(D16="","",登!$F$1)</f>
        <v/>
      </c>
      <c r="D16" s="66"/>
      <c r="E16" s="187">
        <v>4</v>
      </c>
      <c r="F16" s="164" t="str">
        <f>IF(D16="","",IF(COUNTIF($D$13:D16,"")&gt;0,"大前から詰めて入力",IF(INT(VALUE(RIGHT(D16,3))/100)=$B$2,VLOOKUP(D16,登!$B$4:$I$103,7,0),"部員番号入力ミス")))</f>
        <v/>
      </c>
      <c r="G16" s="181" t="str">
        <f>IF(D16="","",IF(INT(VALUE(RIGHT(D16,3))/100)=$B$2,IF(VLOOKUP(D16,登!$B$4:$I$103,2,0)=登!$B$1,1,IF(VLOOKUP(D16,登!$B$4:$I$103,2,0)=登!$B$1-1,2,IF(VLOOKUP(D16,登!$B$4:$I$103,2,0)=登!$B$1-2,3,"学年ミス"))),"番号ミス"))</f>
        <v/>
      </c>
      <c r="H16" s="181" t="str">
        <f t="shared" si="0"/>
        <v/>
      </c>
    </row>
    <row r="17" spans="1:8" ht="12.75" customHeight="1">
      <c r="A17" s="154" t="str">
        <f>IF($B$2=1,IF($D$17="","",IF(COUNT($D$17:$D$20)=1,VLOOKUP(登!$D$1,立男!$A$4:$I$100,9,0)+1100,VLOOKUP(登!$D$1,立男!$A$4:$I$100,9,0)+1000)),IF($D$17="","",IF(COUNT($D$17:$D$20)=1,VLOOKUP(登!$D$1,立女!$A$4:$I$100,9,0)+1100,VLOOKUP(登!$D$1,立女!$A$4:$I$100,9,0)+1000)))</f>
        <v/>
      </c>
      <c r="B17" s="155" t="s">
        <v>17</v>
      </c>
      <c r="C17" s="185" t="str">
        <f>IF(D17="","",登!$F$1)</f>
        <v/>
      </c>
      <c r="D17" s="63"/>
      <c r="E17" s="185">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9" t="str">
        <f t="shared" si="0"/>
        <v/>
      </c>
    </row>
    <row r="18" spans="1:8" ht="12.75" customHeight="1">
      <c r="A18" s="160" t="str">
        <f>IF($B$2=1,IF($D$17="","",IF(COUNT($D$17:$D$20)=1,VLOOKUP(登!$D$1,立男!$A$4:$I$100,9,0)+1100,VLOOKUP(登!$D$1,立男!$A$4:$I$100,9,0)+1000)),IF($D$17="","",IF(COUNT($D$17:$D$20)=1,VLOOKUP(登!$D$1,立女!$A$4:$I$100,9,0)+1100,VLOOKUP(登!$D$1,立女!$A$4:$I$100,9,0)+1000)))</f>
        <v/>
      </c>
      <c r="B18" s="161" t="s">
        <v>17</v>
      </c>
      <c r="C18" s="186" t="str">
        <f>IF(D18="","",登!$F$1)</f>
        <v/>
      </c>
      <c r="D18" s="64"/>
      <c r="E18" s="186">
        <v>6</v>
      </c>
      <c r="F18" s="164" t="str">
        <f>IF(D18="","",IF(COUNTIF($D$13:$D$16,"")=4,"Ａチームから入力",IF(COUNTIF($D$17:D18,"")&gt;0,"大前から詰めて入力",IF(INT(VALUE(RIGHT(D18,3))/100)=$B$2,VLOOKUP(D18,登!$B$4:$I$103,7,0),"部員番号入力ミス"))))</f>
        <v/>
      </c>
      <c r="G18" s="165" t="str">
        <f>IF(D18="","",IF(INT(VALUE(RIGHT(D18,3))/100)=$B$2,IF(VLOOKUP(D18,登!$B$4:$I$103,2,0)=登!$B$1,1,IF(VLOOKUP(D18,登!$B$4:$I$103,2,0)=登!$B$1-1,2,IF(VLOOKUP(D18,登!$B$4:$I$103,2,0)=登!$B$1-2,3,"学年ミス"))),"番号ミス"))</f>
        <v/>
      </c>
      <c r="H18" s="165" t="str">
        <f t="shared" si="0"/>
        <v/>
      </c>
    </row>
    <row r="19" spans="1:8" ht="12.75" customHeight="1">
      <c r="A19" s="160" t="str">
        <f>IF($B$2=1,IF($D$17="","",IF(COUNT($D$17:$D$20)=1,VLOOKUP(登!$D$1,立男!$A$4:$I$100,9,0)+1100,VLOOKUP(登!$D$1,立男!$A$4:$I$100,9,0)+1000)),IF($D$17="","",IF(COUNT($D$17:$D$20)=1,VLOOKUP(登!$D$1,立女!$A$4:$I$100,9,0)+1100,VLOOKUP(登!$D$1,立女!$A$4:$I$100,9,0)+1000)))</f>
        <v/>
      </c>
      <c r="B19" s="161" t="s">
        <v>17</v>
      </c>
      <c r="C19" s="186" t="str">
        <f>IF(D19="","",登!$F$1)</f>
        <v/>
      </c>
      <c r="D19" s="64"/>
      <c r="E19" s="186">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5" t="str">
        <f t="shared" si="0"/>
        <v/>
      </c>
    </row>
    <row r="20" spans="1:8" ht="12.75" customHeight="1">
      <c r="A20" s="175" t="str">
        <f>IF($B$2=1,IF($D$17="","",IF(COUNT($D$17:$D$20)=1,VLOOKUP(登!$D$1,立男!$A$4:$I$100,9,0)+1100,VLOOKUP(登!$D$1,立男!$A$4:$I$100,9,0)+1000)),IF($D$17="","",IF(COUNT($D$17:$D$20)=1,VLOOKUP(登!$D$1,立女!$A$4:$I$100,9,0)+1100,VLOOKUP(登!$D$1,立女!$A$4:$I$100,9,0)+1000)))</f>
        <v/>
      </c>
      <c r="B20" s="176" t="s">
        <v>17</v>
      </c>
      <c r="C20" s="187" t="str">
        <f>IF(D20="","",登!$F$1)</f>
        <v/>
      </c>
      <c r="D20" s="66"/>
      <c r="E20" s="187">
        <v>8</v>
      </c>
      <c r="F20" s="188" t="str">
        <f>IF(D20="","",IF(COUNTIF($D$13:$D$16,"")=4,"Ａチームから入力",IF(COUNTIF($D$17:D20,"")&gt;0,"大前から詰めて入力",IF(INT(VALUE(RIGHT(D20,3))/100)=$B$2,VLOOKUP(D20,登!$B$4:$I$103,7,0),"部員番号入力ミス"))))</f>
        <v/>
      </c>
      <c r="G20" s="181" t="str">
        <f>IF(D20="","",IF(INT(VALUE(RIGHT(D20,3))/100)=$B$2,IF(VLOOKUP(D20,登!$B$4:$I$103,2,0)=登!$B$1,1,IF(VLOOKUP(D20,登!$B$4:$I$103,2,0)=登!$B$1-1,2,IF(VLOOKUP(D20,登!$B$4:$I$103,2,0)=登!$B$1-2,3,"学年ミス"))),"番号ミス"))</f>
        <v/>
      </c>
      <c r="H20" s="181" t="str">
        <f t="shared" si="0"/>
        <v/>
      </c>
    </row>
    <row r="21" spans="1:8" ht="12.75" customHeight="1">
      <c r="B21" s="147" t="s">
        <v>15</v>
      </c>
    </row>
    <row r="58" spans="1:11" s="75" customFormat="1" ht="12.75" customHeight="1">
      <c r="A58" s="410" t="s">
        <v>406</v>
      </c>
      <c r="B58" s="410"/>
      <c r="C58" s="410"/>
      <c r="D58" s="410"/>
      <c r="E58" s="407">
        <f>D7</f>
        <v>43636</v>
      </c>
      <c r="F58" s="408"/>
    </row>
    <row r="59" spans="1:11" s="75" customFormat="1" ht="12.75" customHeight="1">
      <c r="A59" s="255"/>
      <c r="B59" s="255"/>
      <c r="C59" s="255"/>
      <c r="D59" s="255"/>
      <c r="E59" s="189"/>
      <c r="F59" s="189"/>
    </row>
    <row r="60" spans="1:11" s="75" customFormat="1" ht="12.75" customHeight="1">
      <c r="A60" s="255"/>
      <c r="B60" s="255"/>
      <c r="C60" s="255"/>
      <c r="D60" s="255"/>
    </row>
    <row r="61" spans="1:11" s="75" customFormat="1" ht="12.75" customHeight="1">
      <c r="A61" s="189" t="s">
        <v>507</v>
      </c>
      <c r="B61" s="409" t="str">
        <f>IF(登!$D$1="",""," "&amp;VLOOKUP(登!$D$1,名!$G$2:$J$54,3,0))</f>
        <v/>
      </c>
      <c r="C61" s="409"/>
      <c r="D61" s="409"/>
      <c r="E61" s="189" t="s">
        <v>199</v>
      </c>
      <c r="F61" s="241" t="s">
        <v>529</v>
      </c>
      <c r="G61" s="254" t="s">
        <v>511</v>
      </c>
    </row>
    <row r="62" spans="1:11" s="75" customFormat="1" ht="12.75" customHeight="1">
      <c r="H62" s="74"/>
    </row>
    <row r="63" spans="1:11" s="75" customFormat="1" ht="12.75" customHeight="1">
      <c r="H63" s="74"/>
    </row>
    <row r="64" spans="1:11" s="75" customFormat="1" ht="12.75" customHeight="1">
      <c r="A64" s="189" t="s">
        <v>510</v>
      </c>
      <c r="B64" s="409" t="str">
        <f>IF(登!$D$1="",""," "&amp;VLOOKUP(登!$D$1,名!$G$2:$J$54,4,0))</f>
        <v/>
      </c>
      <c r="C64" s="409"/>
      <c r="D64" s="409"/>
      <c r="E64" s="189" t="s">
        <v>509</v>
      </c>
      <c r="F64" s="241" t="s">
        <v>530</v>
      </c>
      <c r="G64" s="254" t="s">
        <v>511</v>
      </c>
      <c r="H64" s="74"/>
      <c r="K64" s="190"/>
    </row>
    <row r="65" spans="1:11" s="75" customFormat="1" ht="12.75" customHeight="1">
      <c r="A65" s="190"/>
      <c r="B65" s="190"/>
      <c r="C65" s="190"/>
      <c r="D65" s="190"/>
      <c r="E65" s="190"/>
      <c r="F65" s="190"/>
      <c r="G65" s="190"/>
      <c r="H65" s="190"/>
      <c r="I65" s="190"/>
      <c r="J65" s="190"/>
      <c r="K65" s="190"/>
    </row>
    <row r="67" spans="1:11" s="191" customFormat="1" ht="22.5" customHeight="1">
      <c r="B67" s="256">
        <f>B2</f>
        <v>1</v>
      </c>
      <c r="C67" s="398" t="str">
        <f>C2</f>
        <v>令和元年度県高校弓道遠的大会</v>
      </c>
      <c r="D67" s="399"/>
      <c r="E67" s="399"/>
      <c r="F67" s="399"/>
      <c r="G67" s="400"/>
      <c r="H67" s="192"/>
    </row>
    <row r="68" spans="1:11" s="191" customFormat="1" ht="12.75" customHeight="1">
      <c r="B68" s="193"/>
      <c r="C68" s="193"/>
      <c r="D68" s="194"/>
      <c r="E68" s="194"/>
      <c r="F68" s="194"/>
      <c r="G68" s="195"/>
      <c r="H68" s="192"/>
    </row>
    <row r="69" spans="1:11" s="191" customFormat="1" ht="12.75" customHeight="1">
      <c r="B69" s="401" t="str">
        <f>B4</f>
        <v>監督名</v>
      </c>
      <c r="C69" s="401"/>
      <c r="D69" s="402" t="str">
        <f>D4</f>
        <v>○　○　○　○</v>
      </c>
      <c r="E69" s="403"/>
      <c r="F69" s="404"/>
      <c r="G69" s="405" t="s">
        <v>205</v>
      </c>
      <c r="H69" s="406"/>
      <c r="I69" s="196">
        <f>I4</f>
        <v>0</v>
      </c>
    </row>
    <row r="70" spans="1:11" s="191" customFormat="1" ht="12.75" customHeight="1">
      <c r="B70" s="193"/>
      <c r="C70" s="193"/>
      <c r="D70" s="194"/>
      <c r="E70" s="194"/>
      <c r="F70" s="194"/>
      <c r="G70" s="194"/>
      <c r="H70" s="192"/>
    </row>
    <row r="71" spans="1:11" s="191" customFormat="1" ht="12.75" customHeight="1">
      <c r="B71" s="388" t="str">
        <f>B6</f>
        <v>大会番号</v>
      </c>
      <c r="C71" s="388"/>
      <c r="D71" s="397">
        <f>D6</f>
        <v>7</v>
      </c>
      <c r="E71" s="397"/>
      <c r="F71" s="397"/>
      <c r="G71" s="397"/>
      <c r="H71" s="192"/>
      <c r="I71" s="197"/>
    </row>
    <row r="72" spans="1:11" s="191" customFormat="1" ht="12.75" customHeight="1">
      <c r="B72" s="388" t="str">
        <f t="shared" ref="B72:B74" si="1">B7</f>
        <v>参加申込締切</v>
      </c>
      <c r="C72" s="388"/>
      <c r="D72" s="389">
        <f>D7</f>
        <v>43636</v>
      </c>
      <c r="E72" s="390"/>
      <c r="F72" s="391" t="str">
        <f>F7</f>
        <v>木曜日　１６時</v>
      </c>
      <c r="G72" s="392"/>
      <c r="H72" s="192"/>
      <c r="I72" s="197"/>
    </row>
    <row r="73" spans="1:11" s="191" customFormat="1" ht="12.75" customHeight="1">
      <c r="B73" s="388" t="str">
        <f t="shared" si="1"/>
        <v>大会開催日</v>
      </c>
      <c r="C73" s="388"/>
      <c r="D73" s="389">
        <f>D8</f>
        <v>43645</v>
      </c>
      <c r="E73" s="390"/>
      <c r="F73" s="391" t="str">
        <f>F8</f>
        <v>土曜日</v>
      </c>
      <c r="G73" s="392"/>
      <c r="H73" s="192"/>
      <c r="I73" s="197"/>
    </row>
    <row r="74" spans="1:11" s="191" customFormat="1" ht="12.75" customHeight="1">
      <c r="B74" s="388" t="str">
        <f t="shared" si="1"/>
        <v>申込先</v>
      </c>
      <c r="C74" s="388"/>
      <c r="D74" s="393" t="str">
        <f>D9</f>
        <v>高体連弓道専門部大会申込ｱﾄﾞﾚｽ</v>
      </c>
      <c r="E74" s="394"/>
      <c r="F74" s="448" t="s">
        <v>46</v>
      </c>
      <c r="G74" s="449"/>
      <c r="H74" s="192"/>
      <c r="I74" s="197"/>
    </row>
    <row r="75" spans="1:11" s="191" customFormat="1" ht="12.75" customHeight="1">
      <c r="B75" s="197"/>
      <c r="C75" s="197"/>
      <c r="D75" s="195"/>
      <c r="E75" s="195"/>
      <c r="F75" s="195"/>
      <c r="G75" s="195"/>
      <c r="H75" s="192"/>
      <c r="I75" s="197"/>
    </row>
    <row r="76" spans="1:11" s="191" customFormat="1" ht="22.5" customHeight="1">
      <c r="B76" s="384" t="str">
        <f>B11</f>
        <v>男　子　団　体　参　加　申　込　書</v>
      </c>
      <c r="C76" s="384"/>
      <c r="D76" s="384"/>
      <c r="E76" s="384"/>
      <c r="F76" s="384"/>
      <c r="G76" s="384"/>
      <c r="H76" s="192"/>
    </row>
    <row r="77" spans="1:11" s="191" customFormat="1" ht="12.75" customHeight="1">
      <c r="A77" s="256" t="str">
        <f>A12</f>
        <v>立順</v>
      </c>
      <c r="B77" s="198" t="str">
        <f t="shared" ref="B77:H77" si="2">B12</f>
        <v>チーム</v>
      </c>
      <c r="C77" s="199" t="str">
        <f t="shared" si="2"/>
        <v>校　名</v>
      </c>
      <c r="D77" s="200" t="str">
        <f t="shared" si="2"/>
        <v>登録番号</v>
      </c>
      <c r="E77" s="201" t="str">
        <f t="shared" si="2"/>
        <v>立　順</v>
      </c>
      <c r="F77" s="202" t="str">
        <f t="shared" si="2"/>
        <v>選　　手　　名</v>
      </c>
      <c r="G77" s="203" t="str">
        <f t="shared" si="2"/>
        <v>学　年</v>
      </c>
      <c r="H77" s="256" t="str">
        <f t="shared" si="2"/>
        <v>重複ﾁｪｯｸ</v>
      </c>
    </row>
    <row r="78" spans="1:11" s="191" customFormat="1" ht="12.75" customHeight="1">
      <c r="A78" s="204" t="str">
        <f>IF(A13="","",A13)</f>
        <v/>
      </c>
      <c r="B78" s="205" t="str">
        <f t="shared" ref="B78:H78" si="3">IF(B13="","",B13)</f>
        <v>Ａ</v>
      </c>
      <c r="C78" s="234" t="str">
        <f t="shared" si="3"/>
        <v/>
      </c>
      <c r="D78" s="139" t="str">
        <f t="shared" si="3"/>
        <v/>
      </c>
      <c r="E78" s="234">
        <f t="shared" si="3"/>
        <v>1</v>
      </c>
      <c r="F78" s="208" t="str">
        <f t="shared" si="3"/>
        <v/>
      </c>
      <c r="G78" s="209" t="str">
        <f t="shared" si="3"/>
        <v/>
      </c>
      <c r="H78" s="209" t="str">
        <f t="shared" si="3"/>
        <v/>
      </c>
    </row>
    <row r="79" spans="1:11" s="191" customFormat="1" ht="12.75" customHeight="1">
      <c r="A79" s="210" t="str">
        <f t="shared" ref="A79:H79" si="4">IF(A14="","",A14)</f>
        <v/>
      </c>
      <c r="B79" s="211" t="str">
        <f t="shared" si="4"/>
        <v>Ａ</v>
      </c>
      <c r="C79" s="235" t="str">
        <f t="shared" si="4"/>
        <v/>
      </c>
      <c r="D79" s="140" t="str">
        <f t="shared" si="4"/>
        <v/>
      </c>
      <c r="E79" s="235">
        <f t="shared" si="4"/>
        <v>2</v>
      </c>
      <c r="F79" s="214" t="str">
        <f t="shared" si="4"/>
        <v/>
      </c>
      <c r="G79" s="215" t="str">
        <f t="shared" si="4"/>
        <v/>
      </c>
      <c r="H79" s="215" t="str">
        <f t="shared" si="4"/>
        <v/>
      </c>
    </row>
    <row r="80" spans="1:11" s="191" customFormat="1" ht="12.75" customHeight="1">
      <c r="A80" s="210" t="str">
        <f t="shared" ref="A80:H80" si="5">IF(A15="","",A15)</f>
        <v/>
      </c>
      <c r="B80" s="211" t="str">
        <f t="shared" si="5"/>
        <v>Ａ</v>
      </c>
      <c r="C80" s="235" t="str">
        <f t="shared" si="5"/>
        <v/>
      </c>
      <c r="D80" s="140" t="str">
        <f t="shared" si="5"/>
        <v/>
      </c>
      <c r="E80" s="235">
        <f t="shared" si="5"/>
        <v>3</v>
      </c>
      <c r="F80" s="214" t="str">
        <f t="shared" si="5"/>
        <v/>
      </c>
      <c r="G80" s="215" t="str">
        <f t="shared" si="5"/>
        <v/>
      </c>
      <c r="H80" s="215" t="str">
        <f t="shared" si="5"/>
        <v/>
      </c>
    </row>
    <row r="81" spans="1:8" s="191" customFormat="1" ht="12.75" customHeight="1">
      <c r="A81" s="225" t="str">
        <f t="shared" ref="A81:H81" si="6">IF(A16="","",A16)</f>
        <v/>
      </c>
      <c r="B81" s="226" t="str">
        <f t="shared" si="6"/>
        <v>Ａ</v>
      </c>
      <c r="C81" s="236" t="str">
        <f t="shared" si="6"/>
        <v/>
      </c>
      <c r="D81" s="141" t="str">
        <f t="shared" si="6"/>
        <v/>
      </c>
      <c r="E81" s="236">
        <f t="shared" si="6"/>
        <v>4</v>
      </c>
      <c r="F81" s="214" t="str">
        <f t="shared" si="6"/>
        <v/>
      </c>
      <c r="G81" s="230" t="str">
        <f t="shared" si="6"/>
        <v/>
      </c>
      <c r="H81" s="230" t="str">
        <f t="shared" si="6"/>
        <v/>
      </c>
    </row>
    <row r="82" spans="1:8" s="191" customFormat="1" ht="12.75" customHeight="1">
      <c r="A82" s="204" t="str">
        <f t="shared" ref="A82:H82" si="7">IF(A17="","",A17)</f>
        <v/>
      </c>
      <c r="B82" s="205" t="str">
        <f t="shared" si="7"/>
        <v>Ｂ</v>
      </c>
      <c r="C82" s="234" t="str">
        <f t="shared" si="7"/>
        <v/>
      </c>
      <c r="D82" s="139" t="str">
        <f t="shared" si="7"/>
        <v/>
      </c>
      <c r="E82" s="234">
        <f t="shared" si="7"/>
        <v>5</v>
      </c>
      <c r="F82" s="208" t="str">
        <f t="shared" si="7"/>
        <v/>
      </c>
      <c r="G82" s="209" t="str">
        <f t="shared" si="7"/>
        <v/>
      </c>
      <c r="H82" s="209" t="str">
        <f t="shared" si="7"/>
        <v/>
      </c>
    </row>
    <row r="83" spans="1:8" s="191" customFormat="1" ht="12.75" customHeight="1">
      <c r="A83" s="210" t="str">
        <f t="shared" ref="A83:H83" si="8">IF(A18="","",A18)</f>
        <v/>
      </c>
      <c r="B83" s="211" t="str">
        <f t="shared" si="8"/>
        <v>Ｂ</v>
      </c>
      <c r="C83" s="235" t="str">
        <f t="shared" si="8"/>
        <v/>
      </c>
      <c r="D83" s="140" t="str">
        <f t="shared" si="8"/>
        <v/>
      </c>
      <c r="E83" s="235">
        <f t="shared" si="8"/>
        <v>6</v>
      </c>
      <c r="F83" s="214" t="str">
        <f t="shared" si="8"/>
        <v/>
      </c>
      <c r="G83" s="215" t="str">
        <f t="shared" si="8"/>
        <v/>
      </c>
      <c r="H83" s="215" t="str">
        <f t="shared" si="8"/>
        <v/>
      </c>
    </row>
    <row r="84" spans="1:8" s="191" customFormat="1" ht="12.75" customHeight="1">
      <c r="A84" s="210" t="str">
        <f t="shared" ref="A84:H84" si="9">IF(A19="","",A19)</f>
        <v/>
      </c>
      <c r="B84" s="211" t="str">
        <f t="shared" si="9"/>
        <v>Ｂ</v>
      </c>
      <c r="C84" s="235" t="str">
        <f t="shared" si="9"/>
        <v/>
      </c>
      <c r="D84" s="140" t="str">
        <f t="shared" si="9"/>
        <v/>
      </c>
      <c r="E84" s="235">
        <f t="shared" si="9"/>
        <v>7</v>
      </c>
      <c r="F84" s="214" t="str">
        <f t="shared" si="9"/>
        <v/>
      </c>
      <c r="G84" s="215" t="str">
        <f t="shared" si="9"/>
        <v/>
      </c>
      <c r="H84" s="215" t="str">
        <f t="shared" si="9"/>
        <v/>
      </c>
    </row>
    <row r="85" spans="1:8" s="191" customFormat="1" ht="12.75" customHeight="1">
      <c r="A85" s="225" t="str">
        <f t="shared" ref="A85:H85" si="10">IF(A20="","",A20)</f>
        <v/>
      </c>
      <c r="B85" s="226" t="str">
        <f t="shared" si="10"/>
        <v>Ｂ</v>
      </c>
      <c r="C85" s="236" t="str">
        <f t="shared" si="10"/>
        <v/>
      </c>
      <c r="D85" s="141" t="str">
        <f t="shared" si="10"/>
        <v/>
      </c>
      <c r="E85" s="236">
        <f t="shared" si="10"/>
        <v>8</v>
      </c>
      <c r="F85" s="237" t="str">
        <f t="shared" si="10"/>
        <v/>
      </c>
      <c r="G85" s="230" t="str">
        <f t="shared" si="10"/>
        <v/>
      </c>
      <c r="H85" s="230" t="str">
        <f t="shared" si="10"/>
        <v/>
      </c>
    </row>
    <row r="86" spans="1:8" s="191" customFormat="1" ht="12.75" customHeight="1">
      <c r="B86" s="197" t="str">
        <f>B21</f>
        <v>（４はＡチーム補欠、８はＢチーム補欠です）</v>
      </c>
      <c r="H86" s="192"/>
    </row>
    <row r="87" spans="1:8" s="191" customFormat="1" ht="12.75" customHeight="1">
      <c r="H87" s="192"/>
    </row>
    <row r="88" spans="1:8" s="191" customFormat="1" ht="12.75" customHeight="1">
      <c r="H88" s="192"/>
    </row>
    <row r="123" spans="1:8" s="75" customFormat="1" ht="12.75" customHeight="1">
      <c r="A123" s="410" t="s">
        <v>406</v>
      </c>
      <c r="B123" s="410"/>
      <c r="C123" s="410"/>
      <c r="D123" s="410"/>
      <c r="E123" s="386">
        <f>E58</f>
        <v>43636</v>
      </c>
      <c r="F123" s="387"/>
    </row>
    <row r="124" spans="1:8" s="75" customFormat="1" ht="12.75" customHeight="1">
      <c r="A124" s="255"/>
      <c r="B124" s="255"/>
      <c r="C124" s="255"/>
      <c r="D124" s="255"/>
      <c r="E124" s="239"/>
      <c r="F124" s="239"/>
    </row>
    <row r="125" spans="1:8" s="75" customFormat="1" ht="12.75" customHeight="1">
      <c r="A125" s="255"/>
      <c r="B125" s="255"/>
      <c r="C125" s="255"/>
      <c r="D125" s="255"/>
      <c r="E125" s="238"/>
      <c r="F125" s="238"/>
    </row>
    <row r="126" spans="1:8" s="75" customFormat="1" ht="12.75" customHeight="1">
      <c r="A126" s="189" t="s">
        <v>507</v>
      </c>
      <c r="B126" s="450" t="str">
        <f>B61</f>
        <v/>
      </c>
      <c r="C126" s="450"/>
      <c r="D126" s="450"/>
      <c r="E126" s="239" t="s">
        <v>199</v>
      </c>
      <c r="F126" s="249" t="str">
        <f>F61</f>
        <v xml:space="preserve">○　○　○　○　 </v>
      </c>
      <c r="G126" s="254" t="s">
        <v>511</v>
      </c>
    </row>
    <row r="127" spans="1:8" s="75" customFormat="1" ht="12.75" customHeight="1">
      <c r="E127" s="238"/>
      <c r="F127" s="238"/>
      <c r="H127" s="74"/>
    </row>
    <row r="128" spans="1:8" s="75" customFormat="1" ht="12.75" customHeight="1">
      <c r="E128" s="238"/>
      <c r="F128" s="238"/>
      <c r="H128" s="74"/>
    </row>
    <row r="129" spans="1:11" s="75" customFormat="1" ht="12.75" customHeight="1">
      <c r="A129" s="189" t="s">
        <v>510</v>
      </c>
      <c r="B129" s="450" t="str">
        <f>B64</f>
        <v/>
      </c>
      <c r="C129" s="450"/>
      <c r="D129" s="450"/>
      <c r="E129" s="239" t="s">
        <v>509</v>
      </c>
      <c r="F129" s="249" t="str">
        <f>F64</f>
        <v xml:space="preserve">○　○　○　○　 </v>
      </c>
      <c r="G129" s="254" t="s">
        <v>511</v>
      </c>
      <c r="H129" s="74"/>
      <c r="K129" s="190"/>
    </row>
    <row r="130" spans="1:11" s="75" customFormat="1" ht="12.75" customHeight="1">
      <c r="A130" s="190"/>
      <c r="B130" s="190"/>
      <c r="C130" s="190"/>
      <c r="D130" s="190"/>
      <c r="E130" s="190"/>
      <c r="F130" s="190"/>
      <c r="G130" s="190"/>
      <c r="H130" s="190"/>
      <c r="I130" s="190"/>
      <c r="J130" s="190"/>
      <c r="K130" s="190"/>
    </row>
  </sheetData>
  <sheetProtection password="CC71" sheet="1" objects="1" scenarios="1"/>
  <mergeCells count="43">
    <mergeCell ref="A2:A4"/>
    <mergeCell ref="B126:D126"/>
    <mergeCell ref="B129:D129"/>
    <mergeCell ref="B74:C74"/>
    <mergeCell ref="D74:E74"/>
    <mergeCell ref="C67:G67"/>
    <mergeCell ref="B69:C69"/>
    <mergeCell ref="D69:F69"/>
    <mergeCell ref="G69:H69"/>
    <mergeCell ref="B71:C71"/>
    <mergeCell ref="D71:G71"/>
    <mergeCell ref="B6:C6"/>
    <mergeCell ref="D6:G6"/>
    <mergeCell ref="B7:C7"/>
    <mergeCell ref="D7:E7"/>
    <mergeCell ref="F7:G7"/>
    <mergeCell ref="F74:G74"/>
    <mergeCell ref="B76:G76"/>
    <mergeCell ref="A123:D123"/>
    <mergeCell ref="E123:F123"/>
    <mergeCell ref="B72:C72"/>
    <mergeCell ref="D72:E72"/>
    <mergeCell ref="F72:G72"/>
    <mergeCell ref="B73:C73"/>
    <mergeCell ref="D73:E73"/>
    <mergeCell ref="F73:G73"/>
    <mergeCell ref="K2:K3"/>
    <mergeCell ref="L2:L3"/>
    <mergeCell ref="C2:G2"/>
    <mergeCell ref="D4:F4"/>
    <mergeCell ref="G4:H4"/>
    <mergeCell ref="B4:C4"/>
    <mergeCell ref="B61:D61"/>
    <mergeCell ref="B64:D64"/>
    <mergeCell ref="B8:C8"/>
    <mergeCell ref="D8:E8"/>
    <mergeCell ref="F8:G8"/>
    <mergeCell ref="A58:D58"/>
    <mergeCell ref="E58:F58"/>
    <mergeCell ref="B11:G11"/>
    <mergeCell ref="B9:C9"/>
    <mergeCell ref="F9:G9"/>
    <mergeCell ref="D9:E9"/>
  </mergeCells>
  <phoneticPr fontId="2"/>
  <dataValidations count="1">
    <dataValidation type="list" allowBlank="1" showInputMessage="1" showErrorMessage="1" errorTitle="個数エラー" error="0～2を入力" sqref="I4">
      <formula1>"0,1,2"</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8"/>
  </sheetPr>
  <dimension ref="A2:L130"/>
  <sheetViews>
    <sheetView zoomScaleNormal="100" workbookViewId="0"/>
  </sheetViews>
  <sheetFormatPr defaultColWidth="9" defaultRowHeight="12.75" customHeight="1"/>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9" width="4.25" style="143" customWidth="1"/>
    <col min="10" max="10" width="6.125" style="143" customWidth="1"/>
    <col min="11" max="16384" width="9" style="143"/>
  </cols>
  <sheetData>
    <row r="2" spans="1:12" ht="22.5" customHeight="1">
      <c r="A2" s="382" t="s">
        <v>518</v>
      </c>
      <c r="B2" s="252">
        <v>2</v>
      </c>
      <c r="C2" s="424" t="str">
        <f>日!B1&amp;"県高校弓道遠的大会"</f>
        <v>令和元年度県高校弓道遠的大会</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K4" s="62" t="s">
        <v>531</v>
      </c>
      <c r="L4" s="62" t="s">
        <v>532</v>
      </c>
    </row>
    <row r="5" spans="1:12" ht="12.75" customHeight="1">
      <c r="B5" s="144"/>
      <c r="C5" s="144"/>
      <c r="D5" s="145"/>
      <c r="E5" s="145"/>
      <c r="F5" s="145"/>
      <c r="G5" s="145"/>
      <c r="K5" s="253" t="str">
        <f>SUBSTITUTE(SUBSTITUTE(K4," ",""),"　","")</f>
        <v>○○</v>
      </c>
      <c r="L5" s="253" t="str">
        <f>SUBSTITUTE(SUBSTITUTE(L4," ",""),"　","")</f>
        <v>○○</v>
      </c>
    </row>
    <row r="6" spans="1:12" ht="12.75" customHeight="1">
      <c r="B6" s="411" t="s">
        <v>39</v>
      </c>
      <c r="C6" s="411"/>
      <c r="D6" s="427">
        <v>8</v>
      </c>
      <c r="E6" s="427"/>
      <c r="F6" s="427"/>
      <c r="G6" s="427"/>
      <c r="I6" s="147"/>
    </row>
    <row r="7" spans="1:12" ht="12.75" customHeight="1">
      <c r="B7" s="411" t="s">
        <v>40</v>
      </c>
      <c r="C7" s="411"/>
      <c r="D7" s="422">
        <f>VLOOKUP(D6,日!$B$2:$F$111,3,0)</f>
        <v>43636</v>
      </c>
      <c r="E7" s="423"/>
      <c r="F7" s="416" t="str">
        <f>TEXT(WEEKDAY(D7,1),"aaaa")&amp;"　１６時"</f>
        <v>木曜日　１６時</v>
      </c>
      <c r="G7" s="417"/>
      <c r="I7" s="147"/>
    </row>
    <row r="8" spans="1:12" ht="12.75" customHeight="1">
      <c r="B8" s="411" t="s">
        <v>38</v>
      </c>
      <c r="C8" s="411"/>
      <c r="D8" s="418">
        <f>VLOOKUP(D6,日!$B$2:$F$111,5,0)</f>
        <v>43645</v>
      </c>
      <c r="E8" s="419"/>
      <c r="F8" s="420" t="str">
        <f>TEXT(WEEKDAY(D8,1),"aaaa")</f>
        <v>土曜日</v>
      </c>
      <c r="G8" s="421"/>
      <c r="I8" s="147"/>
    </row>
    <row r="9" spans="1:12" ht="12.75" customHeight="1">
      <c r="B9" s="411" t="s">
        <v>41</v>
      </c>
      <c r="C9" s="411"/>
      <c r="D9" s="412" t="s">
        <v>45</v>
      </c>
      <c r="E9" s="413"/>
      <c r="F9" s="395" t="s">
        <v>46</v>
      </c>
      <c r="G9" s="396"/>
      <c r="I9" s="147"/>
    </row>
    <row r="10" spans="1:12" ht="12.75" customHeight="1">
      <c r="B10" s="147"/>
      <c r="C10" s="147"/>
      <c r="D10" s="146"/>
      <c r="E10" s="146"/>
      <c r="F10" s="146"/>
      <c r="G10" s="146"/>
      <c r="I10" s="147"/>
    </row>
    <row r="11" spans="1:12" ht="22.5" customHeight="1">
      <c r="B11" s="414" t="str">
        <f>IF(B2=1,"男　子　団　体　参　加　申　込　書","女　子　団　体　参　加　申　込　書")</f>
        <v>女　子　団　体　参　加　申　込　書</v>
      </c>
      <c r="C11" s="414"/>
      <c r="D11" s="414"/>
      <c r="E11" s="414"/>
      <c r="F11" s="414"/>
      <c r="G11" s="414"/>
    </row>
    <row r="12" spans="1:12" ht="12.75" customHeight="1">
      <c r="A12" s="252" t="s">
        <v>32</v>
      </c>
      <c r="B12" s="148" t="s">
        <v>51</v>
      </c>
      <c r="C12" s="149" t="s">
        <v>10</v>
      </c>
      <c r="D12" s="150" t="s">
        <v>33</v>
      </c>
      <c r="E12" s="151" t="s">
        <v>12</v>
      </c>
      <c r="F12" s="152" t="s">
        <v>13</v>
      </c>
      <c r="G12" s="153" t="s">
        <v>14</v>
      </c>
      <c r="H12" s="252" t="s">
        <v>47</v>
      </c>
    </row>
    <row r="13" spans="1:12" ht="12.75" customHeight="1">
      <c r="A13" s="154" t="str">
        <f>IF($B$2=1,IF($D$13="","",IF(COUNT($D$13:$D$16)=1,VLOOKUP(登!$D$1,立男!$A$4:$I$100,9,0)+100,VLOOKUP(登!$D$1,立男!$A$4:$I$100,9,0))),IF($D$13="","",IF(COUNT($D$13:$D$16)=1,VLOOKUP(登!$D$1,立女!$A$4:$I$100,9,0)+100,VLOOKUP(登!$D$1,立女!$A$4:$I$100,9,0))))</f>
        <v/>
      </c>
      <c r="B13" s="155" t="s">
        <v>16</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IF(D13="","",IF(COUNTIF($D$13:$D$20,D13)&gt;1,"選手重複!!","OK"))</f>
        <v/>
      </c>
    </row>
    <row r="14" spans="1:12" ht="12.75" customHeight="1">
      <c r="A14" s="160" t="str">
        <f>IF($B$2=1,IF($D$13="","",IF(COUNT($D$13:$D$16)=1,VLOOKUP(登!$D$1,立男!$A$4:$I$100,9,0)+100,VLOOKUP(登!$D$1,立男!$A$4:$I$100,9,0))),IF($D$13="","",IF(COUNT($D$13:$D$16)=1,VLOOKUP(登!$D$1,立女!$A$4:$I$100,9,0)+100,VLOOKUP(登!$D$1,立女!$A$4:$I$100,9,0))))</f>
        <v/>
      </c>
      <c r="B14" s="161" t="s">
        <v>16</v>
      </c>
      <c r="C14" s="186" t="str">
        <f>IF(D14="","",登!$F$1)</f>
        <v/>
      </c>
      <c r="D14" s="64"/>
      <c r="E14" s="186">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 t="shared" ref="H14:H20" si="0">IF(D14="","",IF(COUNTIF($D$13:$D$20,D14)&gt;1,"選手重複!!","OK"))</f>
        <v/>
      </c>
    </row>
    <row r="15" spans="1:12" ht="12.75" customHeight="1">
      <c r="A15" s="160" t="str">
        <f>IF($B$2=1,IF($D$13="","",IF(COUNT($D$13:$D$16)=1,VLOOKUP(登!$D$1,立男!$A$4:$I$100,9,0)+100,VLOOKUP(登!$D$1,立男!$A$4:$I$100,9,0))),IF($D$13="","",IF(COUNT($D$13:$D$16)=1,VLOOKUP(登!$D$1,立女!$A$4:$I$100,9,0)+100,VLOOKUP(登!$D$1,立女!$A$4:$I$100,9,0))))</f>
        <v/>
      </c>
      <c r="B15" s="161" t="s">
        <v>16</v>
      </c>
      <c r="C15" s="186" t="str">
        <f>IF(D15="","",登!$F$1)</f>
        <v/>
      </c>
      <c r="D15" s="64"/>
      <c r="E15" s="186">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5" t="str">
        <f t="shared" si="0"/>
        <v/>
      </c>
    </row>
    <row r="16" spans="1:12" ht="12.75" customHeight="1">
      <c r="A16" s="175" t="str">
        <f>IF($B$2=1,IF($D$13="","",IF(COUNT($D$13:$D$16)=1,VLOOKUP(登!$D$1,立男!$A$4:$I$100,9,0)+100,VLOOKUP(登!$D$1,立男!$A$4:$I$100,9,0))),IF($D$13="","",IF(COUNT($D$13:$D$16)=1,VLOOKUP(登!$D$1,立女!$A$4:$I$100,9,0)+100,VLOOKUP(登!$D$1,立女!$A$4:$I$100,9,0))))</f>
        <v/>
      </c>
      <c r="B16" s="176" t="s">
        <v>16</v>
      </c>
      <c r="C16" s="187" t="str">
        <f>IF(D16="","",登!$F$1)</f>
        <v/>
      </c>
      <c r="D16" s="66"/>
      <c r="E16" s="187">
        <v>4</v>
      </c>
      <c r="F16" s="164" t="str">
        <f>IF(D16="","",IF(COUNTIF($D$13:D16,"")&gt;0,"大前から詰めて入力",IF(INT(VALUE(RIGHT(D16,3))/100)=$B$2,VLOOKUP(D16,登!$B$4:$I$103,7,0),"部員番号入力ミス")))</f>
        <v/>
      </c>
      <c r="G16" s="181" t="str">
        <f>IF(D16="","",IF(INT(VALUE(RIGHT(D16,3))/100)=$B$2,IF(VLOOKUP(D16,登!$B$4:$I$103,2,0)=登!$B$1,1,IF(VLOOKUP(D16,登!$B$4:$I$103,2,0)=登!$B$1-1,2,IF(VLOOKUP(D16,登!$B$4:$I$103,2,0)=登!$B$1-2,3,"学年ミス"))),"番号ミス"))</f>
        <v/>
      </c>
      <c r="H16" s="181" t="str">
        <f t="shared" si="0"/>
        <v/>
      </c>
    </row>
    <row r="17" spans="1:8" ht="12.75" customHeight="1">
      <c r="A17" s="154" t="str">
        <f>IF($B$2=1,IF($D$17="","",IF(COUNT($D$17:$D$20)=1,VLOOKUP(登!$D$1,立男!$A$4:$I$100,9,0)+1100,VLOOKUP(登!$D$1,立男!$A$4:$I$100,9,0)+1000)),IF($D$17="","",IF(COUNT($D$17:$D$20)=1,VLOOKUP(登!$D$1,立女!$A$4:$I$100,9,0)+1100,VLOOKUP(登!$D$1,立女!$A$4:$I$100,9,0)+1000)))</f>
        <v/>
      </c>
      <c r="B17" s="155" t="s">
        <v>17</v>
      </c>
      <c r="C17" s="185" t="str">
        <f>IF(D17="","",登!$F$1)</f>
        <v/>
      </c>
      <c r="D17" s="63"/>
      <c r="E17" s="185">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9" t="str">
        <f t="shared" si="0"/>
        <v/>
      </c>
    </row>
    <row r="18" spans="1:8" ht="12.75" customHeight="1">
      <c r="A18" s="160" t="str">
        <f>IF($B$2=1,IF($D$17="","",IF(COUNT($D$17:$D$20)=1,VLOOKUP(登!$D$1,立男!$A$4:$I$100,9,0)+1100,VLOOKUP(登!$D$1,立男!$A$4:$I$100,9,0)+1000)),IF($D$17="","",IF(COUNT($D$17:$D$20)=1,VLOOKUP(登!$D$1,立女!$A$4:$I$100,9,0)+1100,VLOOKUP(登!$D$1,立女!$A$4:$I$100,9,0)+1000)))</f>
        <v/>
      </c>
      <c r="B18" s="161" t="s">
        <v>17</v>
      </c>
      <c r="C18" s="186" t="str">
        <f>IF(D18="","",登!$F$1)</f>
        <v/>
      </c>
      <c r="D18" s="64"/>
      <c r="E18" s="186">
        <v>6</v>
      </c>
      <c r="F18" s="164" t="str">
        <f>IF(D18="","",IF(COUNTIF($D$13:$D$16,"")=4,"Ａチームから入力",IF(COUNTIF($D$17:D18,"")&gt;0,"大前から詰めて入力",IF(INT(VALUE(RIGHT(D18,3))/100)=$B$2,VLOOKUP(D18,登!$B$4:$I$103,7,0),"部員番号入力ミス"))))</f>
        <v/>
      </c>
      <c r="G18" s="165" t="str">
        <f>IF(D18="","",IF(INT(VALUE(RIGHT(D18,3))/100)=$B$2,IF(VLOOKUP(D18,登!$B$4:$I$103,2,0)=登!$B$1,1,IF(VLOOKUP(D18,登!$B$4:$I$103,2,0)=登!$B$1-1,2,IF(VLOOKUP(D18,登!$B$4:$I$103,2,0)=登!$B$1-2,3,"学年ミス"))),"番号ミス"))</f>
        <v/>
      </c>
      <c r="H18" s="165" t="str">
        <f t="shared" si="0"/>
        <v/>
      </c>
    </row>
    <row r="19" spans="1:8" ht="12.75" customHeight="1">
      <c r="A19" s="160" t="str">
        <f>IF($B$2=1,IF($D$17="","",IF(COUNT($D$17:$D$20)=1,VLOOKUP(登!$D$1,立男!$A$4:$I$100,9,0)+1100,VLOOKUP(登!$D$1,立男!$A$4:$I$100,9,0)+1000)),IF($D$17="","",IF(COUNT($D$17:$D$20)=1,VLOOKUP(登!$D$1,立女!$A$4:$I$100,9,0)+1100,VLOOKUP(登!$D$1,立女!$A$4:$I$100,9,0)+1000)))</f>
        <v/>
      </c>
      <c r="B19" s="161" t="s">
        <v>17</v>
      </c>
      <c r="C19" s="186" t="str">
        <f>IF(D19="","",登!$F$1)</f>
        <v/>
      </c>
      <c r="D19" s="64"/>
      <c r="E19" s="186">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5" t="str">
        <f t="shared" si="0"/>
        <v/>
      </c>
    </row>
    <row r="20" spans="1:8" ht="12.75" customHeight="1">
      <c r="A20" s="175" t="str">
        <f>IF($B$2=1,IF($D$17="","",IF(COUNT($D$17:$D$20)=1,VLOOKUP(登!$D$1,立男!$A$4:$I$100,9,0)+1100,VLOOKUP(登!$D$1,立男!$A$4:$I$100,9,0)+1000)),IF($D$17="","",IF(COUNT($D$17:$D$20)=1,VLOOKUP(登!$D$1,立女!$A$4:$I$100,9,0)+1100,VLOOKUP(登!$D$1,立女!$A$4:$I$100,9,0)+1000)))</f>
        <v/>
      </c>
      <c r="B20" s="176" t="s">
        <v>17</v>
      </c>
      <c r="C20" s="187" t="str">
        <f>IF(D20="","",登!$F$1)</f>
        <v/>
      </c>
      <c r="D20" s="66"/>
      <c r="E20" s="187">
        <v>8</v>
      </c>
      <c r="F20" s="188" t="str">
        <f>IF(D20="","",IF(COUNTIF($D$13:$D$16,"")=4,"Ａチームから入力",IF(COUNTIF($D$17:D20,"")&gt;0,"大前から詰めて入力",IF(INT(VALUE(RIGHT(D20,3))/100)=$B$2,VLOOKUP(D20,登!$B$4:$I$103,7,0),"部員番号入力ミス"))))</f>
        <v/>
      </c>
      <c r="G20" s="181" t="str">
        <f>IF(D20="","",IF(INT(VALUE(RIGHT(D20,3))/100)=$B$2,IF(VLOOKUP(D20,登!$B$4:$I$103,2,0)=登!$B$1,1,IF(VLOOKUP(D20,登!$B$4:$I$103,2,0)=登!$B$1-1,2,IF(VLOOKUP(D20,登!$B$4:$I$103,2,0)=登!$B$1-2,3,"学年ミス"))),"番号ミス"))</f>
        <v/>
      </c>
      <c r="H20" s="181" t="str">
        <f t="shared" si="0"/>
        <v/>
      </c>
    </row>
    <row r="21" spans="1:8" ht="12.75" customHeight="1">
      <c r="B21" s="147" t="s">
        <v>15</v>
      </c>
    </row>
    <row r="58" spans="1:11" s="75" customFormat="1" ht="12.75" customHeight="1">
      <c r="A58" s="410" t="s">
        <v>406</v>
      </c>
      <c r="B58" s="410"/>
      <c r="C58" s="410"/>
      <c r="D58" s="410"/>
      <c r="E58" s="407">
        <f>D7</f>
        <v>43636</v>
      </c>
      <c r="F58" s="408"/>
    </row>
    <row r="59" spans="1:11" s="75" customFormat="1" ht="12.75" customHeight="1">
      <c r="A59" s="255"/>
      <c r="B59" s="255"/>
      <c r="C59" s="255"/>
      <c r="D59" s="255"/>
      <c r="E59" s="189"/>
      <c r="F59" s="189"/>
    </row>
    <row r="60" spans="1:11" s="75" customFormat="1" ht="12.75" customHeight="1">
      <c r="A60" s="255"/>
      <c r="B60" s="255"/>
      <c r="C60" s="255"/>
      <c r="D60" s="255"/>
    </row>
    <row r="61" spans="1:11" s="75" customFormat="1" ht="12.75" customHeight="1">
      <c r="A61" s="189" t="s">
        <v>507</v>
      </c>
      <c r="B61" s="409" t="str">
        <f>IF(登!$D$1="",""," "&amp;VLOOKUP(登!$D$1,名!$G$2:$J$54,3,0))</f>
        <v/>
      </c>
      <c r="C61" s="409"/>
      <c r="D61" s="409"/>
      <c r="E61" s="189" t="s">
        <v>199</v>
      </c>
      <c r="F61" s="241" t="s">
        <v>529</v>
      </c>
      <c r="G61" s="254" t="s">
        <v>511</v>
      </c>
    </row>
    <row r="62" spans="1:11" s="75" customFormat="1" ht="12.75" customHeight="1">
      <c r="H62" s="74"/>
    </row>
    <row r="63" spans="1:11" s="75" customFormat="1" ht="12.75" customHeight="1">
      <c r="H63" s="74"/>
    </row>
    <row r="64" spans="1:11" s="75" customFormat="1" ht="12.75" customHeight="1">
      <c r="A64" s="189" t="s">
        <v>510</v>
      </c>
      <c r="B64" s="409" t="str">
        <f>IF(登!$D$1="",""," "&amp;VLOOKUP(登!$D$1,名!$G$2:$J$54,4,0))</f>
        <v/>
      </c>
      <c r="C64" s="409"/>
      <c r="D64" s="409"/>
      <c r="E64" s="189" t="s">
        <v>509</v>
      </c>
      <c r="F64" s="241" t="s">
        <v>530</v>
      </c>
      <c r="G64" s="254" t="s">
        <v>511</v>
      </c>
      <c r="H64" s="74"/>
      <c r="K64" s="190"/>
    </row>
    <row r="65" spans="1:11" s="75" customFormat="1" ht="12.75" customHeight="1">
      <c r="A65" s="190"/>
      <c r="B65" s="190"/>
      <c r="C65" s="190"/>
      <c r="D65" s="190"/>
      <c r="E65" s="190"/>
      <c r="F65" s="190"/>
      <c r="G65" s="190"/>
      <c r="H65" s="190"/>
      <c r="I65" s="190"/>
      <c r="J65" s="190"/>
      <c r="K65" s="190"/>
    </row>
    <row r="67" spans="1:11" s="191" customFormat="1" ht="22.5" customHeight="1">
      <c r="B67" s="256">
        <f>B2</f>
        <v>2</v>
      </c>
      <c r="C67" s="398" t="str">
        <f>C2</f>
        <v>令和元年度県高校弓道遠的大会</v>
      </c>
      <c r="D67" s="399"/>
      <c r="E67" s="399"/>
      <c r="F67" s="399"/>
      <c r="G67" s="400"/>
      <c r="H67" s="192"/>
    </row>
    <row r="68" spans="1:11" s="191" customFormat="1" ht="12.75" customHeight="1">
      <c r="B68" s="193"/>
      <c r="C68" s="193"/>
      <c r="D68" s="194"/>
      <c r="E68" s="194"/>
      <c r="F68" s="194"/>
      <c r="G68" s="195"/>
      <c r="H68" s="192"/>
    </row>
    <row r="69" spans="1:11" s="191" customFormat="1" ht="12.75" customHeight="1">
      <c r="B69" s="401" t="str">
        <f>B4</f>
        <v>監督名</v>
      </c>
      <c r="C69" s="401"/>
      <c r="D69" s="402" t="str">
        <f>D4</f>
        <v>○　○　○　○</v>
      </c>
      <c r="E69" s="403"/>
      <c r="F69" s="404"/>
      <c r="G69" s="405" t="s">
        <v>205</v>
      </c>
      <c r="H69" s="406"/>
      <c r="I69" s="196">
        <f>I4</f>
        <v>0</v>
      </c>
    </row>
    <row r="70" spans="1:11" s="191" customFormat="1" ht="12.75" customHeight="1">
      <c r="B70" s="193"/>
      <c r="C70" s="193"/>
      <c r="D70" s="194"/>
      <c r="E70" s="194"/>
      <c r="F70" s="194"/>
      <c r="G70" s="194"/>
      <c r="H70" s="192"/>
    </row>
    <row r="71" spans="1:11" s="191" customFormat="1" ht="12.75" customHeight="1">
      <c r="B71" s="388" t="str">
        <f>B6</f>
        <v>大会番号</v>
      </c>
      <c r="C71" s="388"/>
      <c r="D71" s="397">
        <f>D6</f>
        <v>8</v>
      </c>
      <c r="E71" s="397"/>
      <c r="F71" s="397"/>
      <c r="G71" s="397"/>
      <c r="H71" s="192"/>
      <c r="I71" s="197"/>
    </row>
    <row r="72" spans="1:11" s="191" customFormat="1" ht="12.75" customHeight="1">
      <c r="B72" s="388" t="str">
        <f t="shared" ref="B72:B74" si="1">B7</f>
        <v>参加申込締切</v>
      </c>
      <c r="C72" s="388"/>
      <c r="D72" s="389">
        <f>D7</f>
        <v>43636</v>
      </c>
      <c r="E72" s="390"/>
      <c r="F72" s="391" t="str">
        <f>F7</f>
        <v>木曜日　１６時</v>
      </c>
      <c r="G72" s="392"/>
      <c r="H72" s="192"/>
      <c r="I72" s="197"/>
    </row>
    <row r="73" spans="1:11" s="191" customFormat="1" ht="12.75" customHeight="1">
      <c r="B73" s="388" t="str">
        <f t="shared" si="1"/>
        <v>大会開催日</v>
      </c>
      <c r="C73" s="388"/>
      <c r="D73" s="389">
        <f>D8</f>
        <v>43645</v>
      </c>
      <c r="E73" s="390"/>
      <c r="F73" s="391" t="str">
        <f>F8</f>
        <v>土曜日</v>
      </c>
      <c r="G73" s="392"/>
      <c r="H73" s="192"/>
      <c r="I73" s="197"/>
    </row>
    <row r="74" spans="1:11" s="191" customFormat="1" ht="12.75" customHeight="1">
      <c r="B74" s="388" t="str">
        <f t="shared" si="1"/>
        <v>申込先</v>
      </c>
      <c r="C74" s="388"/>
      <c r="D74" s="393" t="str">
        <f>D9</f>
        <v>高体連弓道専門部大会申込ｱﾄﾞﾚｽ</v>
      </c>
      <c r="E74" s="394"/>
      <c r="F74" s="448" t="s">
        <v>46</v>
      </c>
      <c r="G74" s="449"/>
      <c r="H74" s="192"/>
      <c r="I74" s="197"/>
    </row>
    <row r="75" spans="1:11" s="191" customFormat="1" ht="12.75" customHeight="1">
      <c r="B75" s="197"/>
      <c r="C75" s="197"/>
      <c r="D75" s="195"/>
      <c r="E75" s="195"/>
      <c r="F75" s="195"/>
      <c r="G75" s="195"/>
      <c r="H75" s="192"/>
      <c r="I75" s="197"/>
    </row>
    <row r="76" spans="1:11" s="191" customFormat="1" ht="22.5" customHeight="1">
      <c r="B76" s="384" t="str">
        <f>B11</f>
        <v>女　子　団　体　参　加　申　込　書</v>
      </c>
      <c r="C76" s="384"/>
      <c r="D76" s="384"/>
      <c r="E76" s="384"/>
      <c r="F76" s="384"/>
      <c r="G76" s="384"/>
      <c r="H76" s="192"/>
    </row>
    <row r="77" spans="1:11" s="191" customFormat="1" ht="12.75" customHeight="1">
      <c r="A77" s="256" t="str">
        <f>A12</f>
        <v>立順</v>
      </c>
      <c r="B77" s="198" t="str">
        <f t="shared" ref="B77:H77" si="2">B12</f>
        <v>チーム</v>
      </c>
      <c r="C77" s="199" t="str">
        <f t="shared" si="2"/>
        <v>校　名</v>
      </c>
      <c r="D77" s="200" t="str">
        <f t="shared" si="2"/>
        <v>登録番号</v>
      </c>
      <c r="E77" s="201" t="str">
        <f t="shared" si="2"/>
        <v>立　順</v>
      </c>
      <c r="F77" s="202" t="str">
        <f t="shared" si="2"/>
        <v>選　　手　　名</v>
      </c>
      <c r="G77" s="203" t="str">
        <f t="shared" si="2"/>
        <v>学　年</v>
      </c>
      <c r="H77" s="256" t="str">
        <f t="shared" si="2"/>
        <v>重複ﾁｪｯｸ</v>
      </c>
    </row>
    <row r="78" spans="1:11" s="191" customFormat="1" ht="12.75" customHeight="1">
      <c r="A78" s="204" t="str">
        <f>IF(A13="","",A13)</f>
        <v/>
      </c>
      <c r="B78" s="205" t="str">
        <f t="shared" ref="B78:H78" si="3">IF(B13="","",B13)</f>
        <v>Ａ</v>
      </c>
      <c r="C78" s="234" t="str">
        <f t="shared" si="3"/>
        <v/>
      </c>
      <c r="D78" s="139" t="str">
        <f t="shared" si="3"/>
        <v/>
      </c>
      <c r="E78" s="234">
        <f t="shared" si="3"/>
        <v>1</v>
      </c>
      <c r="F78" s="208" t="str">
        <f t="shared" si="3"/>
        <v/>
      </c>
      <c r="G78" s="209" t="str">
        <f t="shared" si="3"/>
        <v/>
      </c>
      <c r="H78" s="209" t="str">
        <f t="shared" si="3"/>
        <v/>
      </c>
    </row>
    <row r="79" spans="1:11" s="191" customFormat="1" ht="12.75" customHeight="1">
      <c r="A79" s="210" t="str">
        <f t="shared" ref="A79:H85" si="4">IF(A14="","",A14)</f>
        <v/>
      </c>
      <c r="B79" s="211" t="str">
        <f t="shared" si="4"/>
        <v>Ａ</v>
      </c>
      <c r="C79" s="235" t="str">
        <f t="shared" si="4"/>
        <v/>
      </c>
      <c r="D79" s="140" t="str">
        <f t="shared" si="4"/>
        <v/>
      </c>
      <c r="E79" s="235">
        <f t="shared" si="4"/>
        <v>2</v>
      </c>
      <c r="F79" s="214" t="str">
        <f t="shared" si="4"/>
        <v/>
      </c>
      <c r="G79" s="215" t="str">
        <f t="shared" si="4"/>
        <v/>
      </c>
      <c r="H79" s="215" t="str">
        <f t="shared" si="4"/>
        <v/>
      </c>
    </row>
    <row r="80" spans="1:11" s="191" customFormat="1" ht="12.75" customHeight="1">
      <c r="A80" s="210" t="str">
        <f t="shared" si="4"/>
        <v/>
      </c>
      <c r="B80" s="211" t="str">
        <f t="shared" si="4"/>
        <v>Ａ</v>
      </c>
      <c r="C80" s="235" t="str">
        <f t="shared" si="4"/>
        <v/>
      </c>
      <c r="D80" s="140" t="str">
        <f t="shared" si="4"/>
        <v/>
      </c>
      <c r="E80" s="235">
        <f t="shared" si="4"/>
        <v>3</v>
      </c>
      <c r="F80" s="214" t="str">
        <f t="shared" si="4"/>
        <v/>
      </c>
      <c r="G80" s="215" t="str">
        <f t="shared" si="4"/>
        <v/>
      </c>
      <c r="H80" s="215" t="str">
        <f t="shared" si="4"/>
        <v/>
      </c>
    </row>
    <row r="81" spans="1:8" s="191" customFormat="1" ht="12.75" customHeight="1">
      <c r="A81" s="225" t="str">
        <f t="shared" si="4"/>
        <v/>
      </c>
      <c r="B81" s="226" t="str">
        <f t="shared" si="4"/>
        <v>Ａ</v>
      </c>
      <c r="C81" s="236" t="str">
        <f t="shared" si="4"/>
        <v/>
      </c>
      <c r="D81" s="141" t="str">
        <f t="shared" si="4"/>
        <v/>
      </c>
      <c r="E81" s="236">
        <f t="shared" si="4"/>
        <v>4</v>
      </c>
      <c r="F81" s="214" t="str">
        <f t="shared" si="4"/>
        <v/>
      </c>
      <c r="G81" s="230" t="str">
        <f t="shared" si="4"/>
        <v/>
      </c>
      <c r="H81" s="230" t="str">
        <f t="shared" si="4"/>
        <v/>
      </c>
    </row>
    <row r="82" spans="1:8" s="191" customFormat="1" ht="12.75" customHeight="1">
      <c r="A82" s="204" t="str">
        <f t="shared" si="4"/>
        <v/>
      </c>
      <c r="B82" s="205" t="str">
        <f t="shared" si="4"/>
        <v>Ｂ</v>
      </c>
      <c r="C82" s="234" t="str">
        <f t="shared" si="4"/>
        <v/>
      </c>
      <c r="D82" s="139" t="str">
        <f t="shared" si="4"/>
        <v/>
      </c>
      <c r="E82" s="234">
        <f t="shared" si="4"/>
        <v>5</v>
      </c>
      <c r="F82" s="208" t="str">
        <f t="shared" si="4"/>
        <v/>
      </c>
      <c r="G82" s="209" t="str">
        <f t="shared" si="4"/>
        <v/>
      </c>
      <c r="H82" s="209" t="str">
        <f t="shared" si="4"/>
        <v/>
      </c>
    </row>
    <row r="83" spans="1:8" s="191" customFormat="1" ht="12.75" customHeight="1">
      <c r="A83" s="210" t="str">
        <f t="shared" si="4"/>
        <v/>
      </c>
      <c r="B83" s="211" t="str">
        <f t="shared" si="4"/>
        <v>Ｂ</v>
      </c>
      <c r="C83" s="235" t="str">
        <f t="shared" si="4"/>
        <v/>
      </c>
      <c r="D83" s="140" t="str">
        <f t="shared" si="4"/>
        <v/>
      </c>
      <c r="E83" s="235">
        <f t="shared" si="4"/>
        <v>6</v>
      </c>
      <c r="F83" s="214" t="str">
        <f t="shared" si="4"/>
        <v/>
      </c>
      <c r="G83" s="215" t="str">
        <f t="shared" si="4"/>
        <v/>
      </c>
      <c r="H83" s="215" t="str">
        <f t="shared" si="4"/>
        <v/>
      </c>
    </row>
    <row r="84" spans="1:8" s="191" customFormat="1" ht="12.75" customHeight="1">
      <c r="A84" s="210" t="str">
        <f t="shared" si="4"/>
        <v/>
      </c>
      <c r="B84" s="211" t="str">
        <f t="shared" si="4"/>
        <v>Ｂ</v>
      </c>
      <c r="C84" s="235" t="str">
        <f t="shared" si="4"/>
        <v/>
      </c>
      <c r="D84" s="140" t="str">
        <f t="shared" si="4"/>
        <v/>
      </c>
      <c r="E84" s="235">
        <f t="shared" si="4"/>
        <v>7</v>
      </c>
      <c r="F84" s="214" t="str">
        <f t="shared" si="4"/>
        <v/>
      </c>
      <c r="G84" s="215" t="str">
        <f t="shared" si="4"/>
        <v/>
      </c>
      <c r="H84" s="215" t="str">
        <f t="shared" si="4"/>
        <v/>
      </c>
    </row>
    <row r="85" spans="1:8" s="191" customFormat="1" ht="12.75" customHeight="1">
      <c r="A85" s="225" t="str">
        <f t="shared" si="4"/>
        <v/>
      </c>
      <c r="B85" s="226" t="str">
        <f t="shared" si="4"/>
        <v>Ｂ</v>
      </c>
      <c r="C85" s="236" t="str">
        <f t="shared" si="4"/>
        <v/>
      </c>
      <c r="D85" s="141" t="str">
        <f t="shared" si="4"/>
        <v/>
      </c>
      <c r="E85" s="236">
        <f t="shared" si="4"/>
        <v>8</v>
      </c>
      <c r="F85" s="237" t="str">
        <f t="shared" si="4"/>
        <v/>
      </c>
      <c r="G85" s="230" t="str">
        <f t="shared" si="4"/>
        <v/>
      </c>
      <c r="H85" s="230" t="str">
        <f t="shared" si="4"/>
        <v/>
      </c>
    </row>
    <row r="86" spans="1:8" s="191" customFormat="1" ht="12.75" customHeight="1">
      <c r="B86" s="197" t="str">
        <f>B21</f>
        <v>（４はＡチーム補欠、８はＢチーム補欠です）</v>
      </c>
      <c r="H86" s="192"/>
    </row>
    <row r="87" spans="1:8" s="191" customFormat="1" ht="12.75" customHeight="1">
      <c r="H87" s="192"/>
    </row>
    <row r="88" spans="1:8" s="191" customFormat="1" ht="12.75" customHeight="1">
      <c r="H88" s="192"/>
    </row>
    <row r="89" spans="1:8" s="191" customFormat="1" ht="12.75" customHeight="1">
      <c r="H89" s="192"/>
    </row>
    <row r="90" spans="1:8" s="191" customFormat="1" ht="12.75" customHeight="1">
      <c r="H90" s="192"/>
    </row>
    <row r="91" spans="1:8" s="191" customFormat="1" ht="12.75" customHeight="1">
      <c r="H91" s="192"/>
    </row>
    <row r="92" spans="1:8" s="191" customFormat="1" ht="12.75" customHeight="1">
      <c r="H92" s="192"/>
    </row>
    <row r="93" spans="1:8" s="191" customFormat="1" ht="12.75" customHeight="1">
      <c r="H93" s="192"/>
    </row>
    <row r="94" spans="1:8" s="191" customFormat="1" ht="12.75" customHeight="1">
      <c r="H94" s="192"/>
    </row>
    <row r="95" spans="1:8" s="191" customFormat="1" ht="12.75" customHeight="1">
      <c r="H95" s="192"/>
    </row>
    <row r="96" spans="1:8" s="191" customFormat="1" ht="12.75" customHeight="1">
      <c r="H96" s="192"/>
    </row>
    <row r="97" spans="8:8" s="191" customFormat="1" ht="12.75" customHeight="1">
      <c r="H97" s="192"/>
    </row>
    <row r="98" spans="8:8" s="191" customFormat="1" ht="12.75" customHeight="1">
      <c r="H98" s="192"/>
    </row>
    <row r="99" spans="8:8" s="191" customFormat="1" ht="12.75" customHeight="1">
      <c r="H99" s="192"/>
    </row>
    <row r="100" spans="8:8" s="191" customFormat="1" ht="12.75" customHeight="1">
      <c r="H100" s="192"/>
    </row>
    <row r="101" spans="8:8" s="191" customFormat="1" ht="12.75" customHeight="1">
      <c r="H101" s="192"/>
    </row>
    <row r="102" spans="8:8" s="191" customFormat="1" ht="12.75" customHeight="1">
      <c r="H102" s="192"/>
    </row>
    <row r="103" spans="8:8" s="191" customFormat="1" ht="12.75" customHeight="1">
      <c r="H103" s="192"/>
    </row>
    <row r="104" spans="8:8" s="191" customFormat="1" ht="12.75" customHeight="1">
      <c r="H104" s="192"/>
    </row>
    <row r="105" spans="8:8" s="191" customFormat="1" ht="12.75" customHeight="1">
      <c r="H105" s="192"/>
    </row>
    <row r="106" spans="8:8" s="191" customFormat="1" ht="12.75" customHeight="1">
      <c r="H106" s="192"/>
    </row>
    <row r="107" spans="8:8" s="191" customFormat="1" ht="12.75" customHeight="1">
      <c r="H107" s="192"/>
    </row>
    <row r="108" spans="8:8" s="191" customFormat="1" ht="12.75" customHeight="1">
      <c r="H108" s="192"/>
    </row>
    <row r="109" spans="8:8" s="191" customFormat="1" ht="12.75" customHeight="1">
      <c r="H109" s="192"/>
    </row>
    <row r="110" spans="8:8" s="191" customFormat="1" ht="12.75" customHeight="1">
      <c r="H110" s="192"/>
    </row>
    <row r="111" spans="8:8" s="191" customFormat="1" ht="12.75" customHeight="1">
      <c r="H111" s="192"/>
    </row>
    <row r="112" spans="8:8" s="191" customFormat="1" ht="12.75" customHeight="1">
      <c r="H112" s="192"/>
    </row>
    <row r="123" spans="1:8" s="75" customFormat="1" ht="12.75" customHeight="1">
      <c r="A123" s="410" t="s">
        <v>406</v>
      </c>
      <c r="B123" s="410"/>
      <c r="C123" s="410"/>
      <c r="D123" s="410"/>
      <c r="E123" s="386">
        <f>E58</f>
        <v>43636</v>
      </c>
      <c r="F123" s="387"/>
    </row>
    <row r="124" spans="1:8" s="75" customFormat="1" ht="12.75" customHeight="1">
      <c r="A124" s="255"/>
      <c r="B124" s="255"/>
      <c r="C124" s="255"/>
      <c r="D124" s="255"/>
      <c r="E124" s="239"/>
      <c r="F124" s="239"/>
    </row>
    <row r="125" spans="1:8" s="75" customFormat="1" ht="12.75" customHeight="1">
      <c r="A125" s="255"/>
      <c r="B125" s="255"/>
      <c r="C125" s="255"/>
      <c r="D125" s="255"/>
      <c r="E125" s="238"/>
      <c r="F125" s="238"/>
    </row>
    <row r="126" spans="1:8" s="75" customFormat="1" ht="12.75" customHeight="1">
      <c r="A126" s="189" t="s">
        <v>507</v>
      </c>
      <c r="B126" s="450" t="str">
        <f>B61</f>
        <v/>
      </c>
      <c r="C126" s="450"/>
      <c r="D126" s="450"/>
      <c r="E126" s="239" t="s">
        <v>199</v>
      </c>
      <c r="F126" s="249" t="str">
        <f>F61</f>
        <v xml:space="preserve">○　○　○　○　 </v>
      </c>
      <c r="G126" s="254" t="s">
        <v>511</v>
      </c>
    </row>
    <row r="127" spans="1:8" s="75" customFormat="1" ht="12.75" customHeight="1">
      <c r="E127" s="238"/>
      <c r="F127" s="238"/>
      <c r="H127" s="74"/>
    </row>
    <row r="128" spans="1:8" s="75" customFormat="1" ht="12.75" customHeight="1">
      <c r="E128" s="238"/>
      <c r="F128" s="238"/>
      <c r="H128" s="74"/>
    </row>
    <row r="129" spans="1:11" s="75" customFormat="1" ht="12.75" customHeight="1">
      <c r="A129" s="189" t="s">
        <v>510</v>
      </c>
      <c r="B129" s="450" t="str">
        <f>B64</f>
        <v/>
      </c>
      <c r="C129" s="450"/>
      <c r="D129" s="450"/>
      <c r="E129" s="239" t="s">
        <v>509</v>
      </c>
      <c r="F129" s="249" t="str">
        <f>F64</f>
        <v xml:space="preserve">○　○　○　○　 </v>
      </c>
      <c r="G129" s="254" t="s">
        <v>511</v>
      </c>
      <c r="H129" s="74"/>
      <c r="K129" s="190"/>
    </row>
    <row r="130" spans="1:11" s="75" customFormat="1" ht="12.75" customHeight="1">
      <c r="A130" s="190"/>
      <c r="B130" s="190"/>
      <c r="C130" s="190"/>
      <c r="D130" s="190"/>
      <c r="E130" s="190"/>
      <c r="F130" s="190"/>
      <c r="G130" s="190"/>
      <c r="H130" s="190"/>
      <c r="I130" s="190"/>
      <c r="J130" s="190"/>
      <c r="K130" s="190"/>
    </row>
  </sheetData>
  <sheetProtection password="CC71" sheet="1" objects="1" scenarios="1"/>
  <mergeCells count="43">
    <mergeCell ref="A2:A4"/>
    <mergeCell ref="B126:D126"/>
    <mergeCell ref="B129:D129"/>
    <mergeCell ref="B74:C74"/>
    <mergeCell ref="D74:E74"/>
    <mergeCell ref="B61:D61"/>
    <mergeCell ref="B64:D64"/>
    <mergeCell ref="C67:G67"/>
    <mergeCell ref="B69:C69"/>
    <mergeCell ref="D69:F69"/>
    <mergeCell ref="G69:H69"/>
    <mergeCell ref="B71:C71"/>
    <mergeCell ref="D71:G71"/>
    <mergeCell ref="B72:C72"/>
    <mergeCell ref="D72:E72"/>
    <mergeCell ref="F72:G72"/>
    <mergeCell ref="F74:G74"/>
    <mergeCell ref="B76:G76"/>
    <mergeCell ref="A123:D123"/>
    <mergeCell ref="E123:F123"/>
    <mergeCell ref="B73:C73"/>
    <mergeCell ref="D73:E73"/>
    <mergeCell ref="F73:G73"/>
    <mergeCell ref="B9:C9"/>
    <mergeCell ref="D9:E9"/>
    <mergeCell ref="F9:G9"/>
    <mergeCell ref="B11:G11"/>
    <mergeCell ref="A58:D58"/>
    <mergeCell ref="E58:F58"/>
    <mergeCell ref="L2:L3"/>
    <mergeCell ref="B4:C4"/>
    <mergeCell ref="D4:F4"/>
    <mergeCell ref="G4:H4"/>
    <mergeCell ref="B8:C8"/>
    <mergeCell ref="D8:E8"/>
    <mergeCell ref="F8:G8"/>
    <mergeCell ref="C2:G2"/>
    <mergeCell ref="K2:K3"/>
    <mergeCell ref="B6:C6"/>
    <mergeCell ref="D6:G6"/>
    <mergeCell ref="B7:C7"/>
    <mergeCell ref="D7:E7"/>
    <mergeCell ref="F7:G7"/>
  </mergeCells>
  <phoneticPr fontId="2"/>
  <dataValidations count="1">
    <dataValidation type="list" allowBlank="1" showInputMessage="1" showErrorMessage="1" errorTitle="個数エラー" error="0～2を入力" sqref="I4">
      <formula1>"0,1,2"</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39"/>
  </sheetPr>
  <dimension ref="A1:L135"/>
  <sheetViews>
    <sheetView zoomScaleNormal="100" workbookViewId="0"/>
  </sheetViews>
  <sheetFormatPr defaultColWidth="9" defaultRowHeight="12" customHeight="1"/>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9" width="4.25" style="143" customWidth="1"/>
    <col min="10" max="10" width="6.125" style="143" customWidth="1"/>
    <col min="11" max="16384" width="9" style="143"/>
  </cols>
  <sheetData>
    <row r="1" spans="1:12" ht="12.75"/>
    <row r="2" spans="1:12" ht="22.5" customHeight="1">
      <c r="A2" s="382" t="s">
        <v>518</v>
      </c>
      <c r="B2" s="252">
        <v>1</v>
      </c>
      <c r="C2" s="424" t="str">
        <f>日!B1&amp;"関東高校弓道個人選手権選抜大会県予選会"</f>
        <v>令和元年度関東高校弓道個人選手権選抜大会県予選会</v>
      </c>
      <c r="D2" s="425"/>
      <c r="E2" s="425"/>
      <c r="F2" s="425"/>
      <c r="G2" s="426"/>
      <c r="K2" s="415" t="s">
        <v>252</v>
      </c>
      <c r="L2" s="415" t="s">
        <v>251</v>
      </c>
    </row>
    <row r="3" spans="1:12" ht="12" customHeight="1">
      <c r="A3" s="382"/>
      <c r="B3" s="144"/>
      <c r="C3" s="144"/>
      <c r="D3" s="145"/>
      <c r="E3" s="145"/>
      <c r="F3" s="145"/>
      <c r="G3" s="146"/>
      <c r="K3" s="415"/>
      <c r="L3" s="415"/>
    </row>
    <row r="4" spans="1:12" ht="12"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531</v>
      </c>
    </row>
    <row r="5" spans="1:12" ht="12" customHeight="1">
      <c r="B5" s="144"/>
      <c r="C5" s="144"/>
      <c r="D5" s="145"/>
      <c r="E5" s="145"/>
      <c r="F5" s="145"/>
      <c r="G5" s="145"/>
      <c r="K5" s="253" t="str">
        <f>SUBSTITUTE(SUBSTITUTE(K4," ",""),"　","")</f>
        <v>○○</v>
      </c>
      <c r="L5" s="253" t="str">
        <f>SUBSTITUTE(SUBSTITUTE(L4," ",""),"　","")</f>
        <v>○○</v>
      </c>
    </row>
    <row r="6" spans="1:12" ht="12" customHeight="1">
      <c r="B6" s="411" t="s">
        <v>39</v>
      </c>
      <c r="C6" s="411"/>
      <c r="D6" s="427">
        <v>9</v>
      </c>
      <c r="E6" s="427"/>
      <c r="F6" s="427"/>
      <c r="G6" s="427"/>
      <c r="I6" s="147"/>
    </row>
    <row r="7" spans="1:12" ht="12" customHeight="1">
      <c r="B7" s="411" t="s">
        <v>40</v>
      </c>
      <c r="C7" s="411"/>
      <c r="D7" s="422">
        <f>VLOOKUP(D6,日!$B$2:$F$111,3,0)</f>
        <v>43664</v>
      </c>
      <c r="E7" s="423"/>
      <c r="F7" s="416" t="str">
        <f>TEXT(WEEKDAY(D7,1),"aaaa")&amp;"　１６時"</f>
        <v>木曜日　１６時</v>
      </c>
      <c r="G7" s="417"/>
      <c r="I7" s="147"/>
    </row>
    <row r="8" spans="1:12" ht="12" customHeight="1">
      <c r="B8" s="411" t="s">
        <v>38</v>
      </c>
      <c r="C8" s="411"/>
      <c r="D8" s="418">
        <f>VLOOKUP(D6,日!$B$2:$F$111,5,0)</f>
        <v>43672</v>
      </c>
      <c r="E8" s="419"/>
      <c r="F8" s="420" t="str">
        <f>TEXT(WEEKDAY(D8,1),"aaaa")</f>
        <v>金曜日</v>
      </c>
      <c r="G8" s="421"/>
      <c r="I8" s="147"/>
    </row>
    <row r="9" spans="1:12" ht="12" customHeight="1">
      <c r="B9" s="411" t="s">
        <v>41</v>
      </c>
      <c r="C9" s="411"/>
      <c r="D9" s="412" t="s">
        <v>45</v>
      </c>
      <c r="E9" s="413"/>
      <c r="F9" s="395" t="s">
        <v>46</v>
      </c>
      <c r="G9" s="396"/>
      <c r="I9" s="147"/>
    </row>
    <row r="10" spans="1:12" ht="12" customHeight="1">
      <c r="B10" s="147"/>
      <c r="C10" s="147"/>
      <c r="D10" s="146"/>
      <c r="E10" s="146"/>
      <c r="F10" s="146"/>
      <c r="G10" s="146"/>
      <c r="I10" s="147"/>
    </row>
    <row r="11" spans="1:12" ht="22.5" customHeight="1">
      <c r="B11" s="414" t="str">
        <f>IF(B2=1,"男　子　個　人　参　加　申　込　書","女　子　個　人　参　加　申　込　書")</f>
        <v>男　子　個　人　参　加　申　込　書</v>
      </c>
      <c r="C11" s="414"/>
      <c r="D11" s="414"/>
      <c r="E11" s="414"/>
      <c r="F11" s="414"/>
      <c r="G11" s="414"/>
    </row>
    <row r="12" spans="1:12" ht="12" customHeight="1">
      <c r="A12" s="252" t="s">
        <v>32</v>
      </c>
      <c r="B12" s="148" t="s">
        <v>22</v>
      </c>
      <c r="C12" s="149" t="s">
        <v>10</v>
      </c>
      <c r="D12" s="150" t="s">
        <v>33</v>
      </c>
      <c r="E12" s="151" t="s">
        <v>12</v>
      </c>
      <c r="F12" s="152" t="s">
        <v>13</v>
      </c>
      <c r="G12" s="153" t="s">
        <v>14</v>
      </c>
      <c r="H12" s="252" t="s">
        <v>47</v>
      </c>
    </row>
    <row r="13" spans="1:12" ht="12" customHeight="1">
      <c r="A13" s="154" t="str">
        <f>IF($B$2=1,IF($D$13="","",IF(COUNT($D$13:$D$15)=3,VLOOKUP(登!$D$1,立男!$A$4:$I$100,7,0),IF(COUNT($D$13:$D$15)=2,VLOOKUP(登!$D$1,立男!$A$4:$I$100,7,0)+100,VLOOKUP(登!$D$1,立男!$A$4:$I$100,7,0)+200))),IF($D$13="","",IF(COUNT($D$13:$D$15)=3,VLOOKUP(登!$D$1,立女!$A$4:$I$100,7,0),IF(COUNT($D$13:$D$15)=2,VLOOKUP(登!$D$1,立女!$A$4:$I$100,7,0)+100,VLOOKUP(登!$D$1,立女!$A$4:$I$100,7,0)+200))))</f>
        <v/>
      </c>
      <c r="B13" s="155" t="s">
        <v>21</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IF(D13="","",IF(COUNTIF($D$13:$D$27,D13)&gt;1,"選手重複!!","OK"))</f>
        <v/>
      </c>
    </row>
    <row r="14" spans="1:12" ht="12" customHeight="1">
      <c r="A14" s="160" t="str">
        <f>IF($B$2=1,IF($D$13="","",IF(COUNT($D$13:$D$15)=3,VLOOKUP(登!$D$1,立男!$A$4:$I$100,7,0),IF(COUNT($D$13:$D$15)=2,VLOOKUP(登!$D$1,立男!$A$4:$I$100,7,0)+100,VLOOKUP(登!$D$1,立男!$A$4:$I$100,7,0)+200))),IF($D$13="","",IF(COUNT($D$13:$D$15)=3,VLOOKUP(登!$D$1,立女!$A$4:$I$100,7,0),IF(COUNT($D$13:$D$15)=2,VLOOKUP(登!$D$1,立女!$A$4:$I$100,7,0)+100,VLOOKUP(登!$D$1,立女!$A$4:$I$100,7,0)+200))))</f>
        <v/>
      </c>
      <c r="B14" s="161" t="s">
        <v>21</v>
      </c>
      <c r="C14" s="186" t="str">
        <f>IF(D14="","",登!$F$1)</f>
        <v/>
      </c>
      <c r="D14" s="64"/>
      <c r="E14" s="186">
        <v>2</v>
      </c>
      <c r="F14" s="164" t="str">
        <f>IF(D14="","",IF(COUNTIF($D13:D$14,"")&gt;0,"上から詰めて入力",IF(INT(VALUE(RIGHT(D14,3))/100)=$B$2,VLOOKUP(D14,登!$B$4:$I$103,7,0),"部員番号入力ミス")))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 t="shared" ref="H14:H27" si="0">IF(D14="","",IF(COUNTIF($D$13:$D$27,D14)&gt;1,"選手重複!!","OK"))</f>
        <v/>
      </c>
    </row>
    <row r="15" spans="1:12" ht="12" customHeight="1">
      <c r="A15" s="175" t="str">
        <f>IF($B$2=1,IF($D$13="","",IF(COUNT($D$13:$D$15)=3,VLOOKUP(登!$D$1,立男!$A$4:$I$100,7,0),IF(COUNT($D$13:$D$15)=2,VLOOKUP(登!$D$1,立男!$A$4:$I$100,7,0)+100,VLOOKUP(登!$D$1,立男!$A$4:$I$100,7,0)+200))),IF($D$13="","",IF(COUNT($D$13:$D$15)=3,VLOOKUP(登!$D$1,立女!$A$4:$I$100,7,0),IF(COUNT($D$13:$D$15)=2,VLOOKUP(登!$D$1,立女!$A$4:$I$100,7,0)+100,VLOOKUP(登!$D$1,立女!$A$4:$I$100,7,0)+200))))</f>
        <v/>
      </c>
      <c r="B15" s="176" t="s">
        <v>21</v>
      </c>
      <c r="C15" s="187" t="str">
        <f>IF(D15="","",登!$F$1)</f>
        <v/>
      </c>
      <c r="D15" s="66"/>
      <c r="E15" s="187">
        <v>3</v>
      </c>
      <c r="F15" s="188" t="str">
        <f>IF(D15="","",IF(COUNTIF($D14:D$14,"")&gt;0,"上から詰めて入力",IF(INT(VALUE(RIGHT(D15,3))/100)=$B$2,VLOOKUP(D15,登!$B$4:$I$103,7,0),"部員番号入力ミス")))</f>
        <v/>
      </c>
      <c r="G15" s="181" t="str">
        <f>IF(D15="","",IF(INT(VALUE(RIGHT(D15,3))/100)=$B$2,IF(VLOOKUP(D15,登!$B$4:$I$103,2,0)=登!$B$1,1,IF(VLOOKUP(D15,登!$B$4:$I$103,2,0)=登!$B$1-1,2,IF(VLOOKUP(D15,登!$B$4:$I$103,2,0)=登!$B$1-2,3,"学年ミス"))),"番号ミス"))</f>
        <v/>
      </c>
      <c r="H15" s="181" t="str">
        <f t="shared" si="0"/>
        <v/>
      </c>
    </row>
    <row r="16" spans="1:12" ht="12" customHeight="1">
      <c r="A16" s="154" t="str">
        <f>IF($B$2=1,IF($D$16="","",IF(COUNT($D$16:$D$18)=3,VLOOKUP(登!$D$1,立男!$A$4:$I$100,7,0)+1000,IF(COUNT($D$16:$D$18)=2,VLOOKUP(登!$D$1,立男!$A$4:$I$100,7,0)+1100,VLOOKUP(登!$D$1,立男!$A$4:$I$100,7,0)+1200))),IF($D$16="","",IF(COUNT($D$16:$D$18)=3,VLOOKUP(登!$D$1,立女!$A$4:$I$100,7,0)+1000,IF(COUNT($D$16:$D$18)=2,VLOOKUP(登!$D$1,立女!$A$4:$I$100,7,0)+1100,VLOOKUP(登!$D$1,立女!$A$4:$I$100,7,0)+1200))))</f>
        <v/>
      </c>
      <c r="B16" s="155" t="s">
        <v>21</v>
      </c>
      <c r="C16" s="185" t="str">
        <f>IF(D16="","",登!$F$1)</f>
        <v/>
      </c>
      <c r="D16" s="63"/>
      <c r="E16" s="185">
        <v>4</v>
      </c>
      <c r="F16" s="158" t="str">
        <f>IF(D16="","",IF(COUNTIF($D$14:D15,"")&gt;0,"上から詰めて入力",IF(INT(VALUE(RIGHT(D16,3))/100)=$B$2,VLOOKUP(D16,登!$B$4:$I$103,7,0),"部員番号入力ミス")))</f>
        <v/>
      </c>
      <c r="G16" s="159" t="str">
        <f>IF(D16="","",IF(INT(VALUE(RIGHT(D16,3))/100)=$B$2,IF(VLOOKUP(D16,登!$B$4:$I$103,2,0)=登!$B$1,1,IF(VLOOKUP(D16,登!$B$4:$I$103,2,0)=登!$B$1-1,2,IF(VLOOKUP(D16,登!$B$4:$I$103,2,0)=登!$B$1-2,3,"学年ミス"))),"番号ミス"))</f>
        <v/>
      </c>
      <c r="H16" s="159" t="str">
        <f t="shared" si="0"/>
        <v/>
      </c>
    </row>
    <row r="17" spans="1:12" ht="12" customHeight="1">
      <c r="A17" s="160" t="str">
        <f>IF($B$2=1,IF($D$16="","",IF(COUNT($D$16:$D$18)=3,VLOOKUP(登!$D$1,立男!$A$4:$I$100,7,0)+1000,IF(COUNT($D$16:$D$18)=2,VLOOKUP(登!$D$1,立男!$A$4:$I$100,7,0)+1100,VLOOKUP(登!$D$1,立男!$A$4:$I$100,7,0)+1200))),IF($D$16="","",IF(COUNT($D$16:$D$18)=3,VLOOKUP(登!$D$1,立女!$A$4:$I$100,7,0)+1000,IF(COUNT($D$16:$D$18)=2,VLOOKUP(登!$D$1,立女!$A$4:$I$100,7,0)+1100,VLOOKUP(登!$D$1,立女!$A$4:$I$100,7,0)+1200))))</f>
        <v/>
      </c>
      <c r="B17" s="161" t="s">
        <v>21</v>
      </c>
      <c r="C17" s="186" t="str">
        <f>IF(D17="","",登!$F$1)</f>
        <v/>
      </c>
      <c r="D17" s="64"/>
      <c r="E17" s="186">
        <v>5</v>
      </c>
      <c r="F17" s="164" t="str">
        <f>IF(D17="","",IF(COUNTIF($D$14:D16,"")&gt;0,"上から詰めて入力",IF(INT(VALUE(RIGHT(D17,3))/100)=$B$2,VLOOKUP(D17,登!$B$4:$I$103,7,0),"部員番号入力ミス")))</f>
        <v/>
      </c>
      <c r="G17" s="165" t="str">
        <f>IF(D17="","",IF(INT(VALUE(RIGHT(D17,3))/100)=$B$2,IF(VLOOKUP(D17,登!$B$4:$I$103,2,0)=登!$B$1,1,IF(VLOOKUP(D17,登!$B$4:$I$103,2,0)=登!$B$1-1,2,IF(VLOOKUP(D17,登!$B$4:$I$103,2,0)=登!$B$1-2,3,"学年ミス"))),"番号ミス"))</f>
        <v/>
      </c>
      <c r="H17" s="165" t="str">
        <f t="shared" si="0"/>
        <v/>
      </c>
    </row>
    <row r="18" spans="1:12" ht="12" customHeight="1">
      <c r="A18" s="175" t="str">
        <f>IF($B$2=1,IF($D$16="","",IF(COUNT($D$16:$D$18)=3,VLOOKUP(登!$D$1,立男!$A$4:$I$100,7,0)+1000,IF(COUNT($D$16:$D$18)=2,VLOOKUP(登!$D$1,立男!$A$4:$I$100,7,0)+1100,VLOOKUP(登!$D$1,立男!$A$4:$I$100,7,0)+1200))),IF($D$16="","",IF(COUNT($D$16:$D$18)=3,VLOOKUP(登!$D$1,立女!$A$4:$I$100,7,0)+1000,IF(COUNT($D$16:$D$18)=2,VLOOKUP(登!$D$1,立女!$A$4:$I$100,7,0)+1100,VLOOKUP(登!$D$1,立女!$A$4:$I$100,7,0)+1200))))</f>
        <v/>
      </c>
      <c r="B18" s="176" t="s">
        <v>21</v>
      </c>
      <c r="C18" s="187" t="str">
        <f>IF(D18="","",登!$F$1)</f>
        <v/>
      </c>
      <c r="D18" s="66"/>
      <c r="E18" s="187">
        <v>6</v>
      </c>
      <c r="F18" s="188" t="str">
        <f>IF(D18="","",IF(COUNTIF($D$14:D17,"")&gt;0,"上から詰めて入力",IF(INT(VALUE(RIGHT(D18,3))/100)=$B$2,VLOOKUP(D18,登!$B$4:$I$103,7,0),"部員番号入力ミス")))</f>
        <v/>
      </c>
      <c r="G18" s="181" t="str">
        <f>IF(D18="","",IF(INT(VALUE(RIGHT(D18,3))/100)=$B$2,IF(VLOOKUP(D18,登!$B$4:$I$103,2,0)=登!$B$1,1,IF(VLOOKUP(D18,登!$B$4:$I$103,2,0)=登!$B$1-1,2,IF(VLOOKUP(D18,登!$B$4:$I$103,2,0)=登!$B$1-2,3,"学年ミス"))),"番号ミス"))</f>
        <v/>
      </c>
      <c r="H18" s="181" t="str">
        <f t="shared" si="0"/>
        <v/>
      </c>
    </row>
    <row r="19" spans="1:12" ht="12" customHeight="1">
      <c r="A19" s="154" t="str">
        <f>IF($B$2=1,IF($D$19="","",IF(COUNT($D$19:$D$21)=3,VLOOKUP(登!$D$1,立男!$A$4:$I$100,7,0)+2000,IF(COUNT($D$19:$D$21)=2,VLOOKUP(登!$D$1,立男!$A$4:$I$100,7,0)+2100,VLOOKUP(登!$D$1,立男!$A$4:$I$100,7,0)+2200))),IF($D$19="","",IF(COUNT($D$19:$D$21)=3,VLOOKUP(登!$D$1,立女!$A$4:$I$100,7,0)+2000,IF(COUNT($D$19:$D$21)=2,VLOOKUP(登!$D$1,立女!$A$4:$I$100,7,0)+2100,VLOOKUP(登!$D$1,立女!$A$4:$I$100,7,0)+2200))))</f>
        <v/>
      </c>
      <c r="B19" s="155" t="s">
        <v>21</v>
      </c>
      <c r="C19" s="185" t="str">
        <f>IF(D19="","",登!$F$1)</f>
        <v/>
      </c>
      <c r="D19" s="63"/>
      <c r="E19" s="185">
        <v>7</v>
      </c>
      <c r="F19" s="158" t="str">
        <f>IF(D19="","",IF(COUNTIF($D$14:D18,"")&gt;0,"上から詰めて入力",IF(INT(VALUE(RIGHT(D19,3))/100)=$B$2,VLOOKUP(D19,登!$B$4:$I$103,7,0),"部員番号入力ミス")))</f>
        <v/>
      </c>
      <c r="G19" s="159" t="str">
        <f>IF(D19="","",IF(INT(VALUE(RIGHT(D19,3))/100)=$B$2,IF(VLOOKUP(D19,登!$B$4:$I$103,2,0)=登!$B$1,1,IF(VLOOKUP(D19,登!$B$4:$I$103,2,0)=登!$B$1-1,2,IF(VLOOKUP(D19,登!$B$4:$I$103,2,0)=登!$B$1-2,3,"学年ミス"))),"番号ミス"))</f>
        <v/>
      </c>
      <c r="H19" s="159" t="str">
        <f t="shared" si="0"/>
        <v/>
      </c>
    </row>
    <row r="20" spans="1:12" ht="12" customHeight="1">
      <c r="A20" s="160" t="str">
        <f>IF($B$2=1,IF($D$19="","",IF(COUNT($D$19:$D$21)=3,VLOOKUP(登!$D$1,立男!$A$4:$I$100,7,0)+2000,IF(COUNT($D$19:$D$21)=2,VLOOKUP(登!$D$1,立男!$A$4:$I$100,7,0)+2100,VLOOKUP(登!$D$1,立男!$A$4:$I$100,7,0)+2200))),IF($D$19="","",IF(COUNT($D$19:$D$21)=3,VLOOKUP(登!$D$1,立女!$A$4:$I$100,7,0)+2000,IF(COUNT($D$19:$D$21)=2,VLOOKUP(登!$D$1,立女!$A$4:$I$100,7,0)+2100,VLOOKUP(登!$D$1,立女!$A$4:$I$100,7,0)+2200))))</f>
        <v/>
      </c>
      <c r="B20" s="161" t="s">
        <v>21</v>
      </c>
      <c r="C20" s="186" t="str">
        <f>IF(D20="","",登!$F$1)</f>
        <v/>
      </c>
      <c r="D20" s="64"/>
      <c r="E20" s="186">
        <v>8</v>
      </c>
      <c r="F20" s="164" t="str">
        <f>IF(D20="","",IF(COUNTIF($D$14:D19,"")&gt;0,"上から詰めて入力",IF(INT(VALUE(RIGHT(D20,3))/100)=$B$2,VLOOKUP(D20,登!$B$4:$I$103,7,0),"部員番号入力ミス")))</f>
        <v/>
      </c>
      <c r="G20" s="165" t="str">
        <f>IF(D20="","",IF(INT(VALUE(RIGHT(D20,3))/100)=$B$2,IF(VLOOKUP(D20,登!$B$4:$I$103,2,0)=登!$B$1,1,IF(VLOOKUP(D20,登!$B$4:$I$103,2,0)=登!$B$1-1,2,IF(VLOOKUP(D20,登!$B$4:$I$103,2,0)=登!$B$1-2,3,"学年ミス"))),"番号ミス"))</f>
        <v/>
      </c>
      <c r="H20" s="165" t="str">
        <f t="shared" si="0"/>
        <v/>
      </c>
    </row>
    <row r="21" spans="1:12" ht="12" customHeight="1">
      <c r="A21" s="175" t="str">
        <f>IF($B$2=1,IF($D$19="","",IF(COUNT($D$19:$D$21)=3,VLOOKUP(登!$D$1,立男!$A$4:$I$100,7,0)+2000,IF(COUNT($D$19:$D$21)=2,VLOOKUP(登!$D$1,立男!$A$4:$I$100,7,0)+2100,VLOOKUP(登!$D$1,立男!$A$4:$I$100,7,0)+2200))),IF($D$19="","",IF(COUNT($D$19:$D$21)=3,VLOOKUP(登!$D$1,立女!$A$4:$I$100,7,0)+2000,IF(COUNT($D$19:$D$21)=2,VLOOKUP(登!$D$1,立女!$A$4:$I$100,7,0)+2100,VLOOKUP(登!$D$1,立女!$A$4:$I$100,7,0)+2200))))</f>
        <v/>
      </c>
      <c r="B21" s="176" t="s">
        <v>21</v>
      </c>
      <c r="C21" s="187" t="str">
        <f>IF(D21="","",登!$F$1)</f>
        <v/>
      </c>
      <c r="D21" s="66"/>
      <c r="E21" s="187">
        <v>9</v>
      </c>
      <c r="F21" s="188" t="str">
        <f>IF(D21="","",IF(COUNTIF($D$14:D20,"")&gt;0,"上から詰めて入力",IF(INT(VALUE(RIGHT(D21,3))/100)=$B$2,VLOOKUP(D21,登!$B$4:$I$103,7,0),"部員番号入力ミス")))</f>
        <v/>
      </c>
      <c r="G21" s="181" t="str">
        <f>IF(D21="","",IF(INT(VALUE(RIGHT(D21,3))/100)=$B$2,IF(VLOOKUP(D21,登!$B$4:$I$103,2,0)=登!$B$1,1,IF(VLOOKUP(D21,登!$B$4:$I$103,2,0)=登!$B$1-1,2,IF(VLOOKUP(D21,登!$B$4:$I$103,2,0)=登!$B$1-2,3,"学年ミス"))),"番号ミス"))</f>
        <v/>
      </c>
      <c r="H21" s="181" t="str">
        <f t="shared" si="0"/>
        <v/>
      </c>
      <c r="L21" s="147"/>
    </row>
    <row r="22" spans="1:12" ht="12" customHeight="1">
      <c r="A22" s="154" t="str">
        <f>IF($B$2=1,IF($D$22="","",IF(COUNT($D$22:$D$24)=3,VLOOKUP(登!$D$1,立男!$A$4:$I$100,7,0)+3000,IF(COUNT($D$22:$D$24)=2,VLOOKUP(登!$D$1,立男!$A$4:$I$100,7,0)+3100,VLOOKUP(登!$D$1,立男!$A$4:$I$100,7,0)+3200))),IF($D$22="","",IF(COUNT($D$22:$D$24)=3,VLOOKUP(登!$D$1,立女!$A$4:$I$100,7,0)+3000,IF(COUNT($D$22:$D$24)=2,VLOOKUP(登!$D$1,立女!$A$4:$I$100,7,0)+3100,VLOOKUP(登!$D$1,立女!$A$4:$I$100,7,0)+3200))))</f>
        <v/>
      </c>
      <c r="B22" s="155" t="s">
        <v>21</v>
      </c>
      <c r="C22" s="185" t="str">
        <f>IF(D22="","",登!$F$1)</f>
        <v/>
      </c>
      <c r="D22" s="63"/>
      <c r="E22" s="185">
        <v>10</v>
      </c>
      <c r="F22" s="158" t="str">
        <f>IF(D22="","",IF(COUNTIF($D$14:D21,"")&gt;0,"上から詰めて入力",IF(INT(VALUE(RIGHT(D22,3))/100)=$B$2,VLOOKUP(D22,登!$B$4:$I$103,7,0),"部員番号入力ミス")))</f>
        <v/>
      </c>
      <c r="G22" s="159" t="str">
        <f>IF(D22="","",IF(INT(VALUE(RIGHT(D22,3))/100)=$B$2,IF(VLOOKUP(D22,登!$B$4:$I$103,2,0)=登!$B$1,1,IF(VLOOKUP(D22,登!$B$4:$I$103,2,0)=登!$B$1-1,2,IF(VLOOKUP(D22,登!$B$4:$I$103,2,0)=登!$B$1-2,3,"学年ミス"))),"番号ミス"))</f>
        <v/>
      </c>
      <c r="H22" s="159" t="str">
        <f t="shared" si="0"/>
        <v/>
      </c>
    </row>
    <row r="23" spans="1:12" ht="12" customHeight="1">
      <c r="A23" s="160" t="str">
        <f>IF($B$2=1,IF($D$22="","",IF(COUNT($D$22:$D$24)=3,VLOOKUP(登!$D$1,立男!$A$4:$I$100,7,0)+3000,IF(COUNT($D$22:$D$24)=2,VLOOKUP(登!$D$1,立男!$A$4:$I$100,7,0)+3100,VLOOKUP(登!$D$1,立男!$A$4:$I$100,7,0)+3200))),IF($D$22="","",IF(COUNT($D$22:$D$24)=3,VLOOKUP(登!$D$1,立女!$A$4:$I$100,7,0)+3000,IF(COUNT($D$22:$D$24)=2,VLOOKUP(登!$D$1,立女!$A$4:$I$100,7,0)+3100,VLOOKUP(登!$D$1,立女!$A$4:$I$100,7,0)+3200))))</f>
        <v/>
      </c>
      <c r="B23" s="161" t="s">
        <v>21</v>
      </c>
      <c r="C23" s="186" t="str">
        <f>IF(D23="","",登!$F$1)</f>
        <v/>
      </c>
      <c r="D23" s="64"/>
      <c r="E23" s="186">
        <v>11</v>
      </c>
      <c r="F23" s="164" t="str">
        <f>IF(D23="","",IF(COUNTIF($D$14:D22,"")&gt;0,"上から詰めて入力",IF(INT(VALUE(RIGHT(D23,3))/100)=$B$2,VLOOKUP(D23,登!$B$4:$I$103,7,0),"部員番号入力ミス")))</f>
        <v/>
      </c>
      <c r="G23" s="165" t="str">
        <f>IF(D23="","",IF(INT(VALUE(RIGHT(D23,3))/100)=$B$2,IF(VLOOKUP(D23,登!$B$4:$I$103,2,0)=登!$B$1,1,IF(VLOOKUP(D23,登!$B$4:$I$103,2,0)=登!$B$1-1,2,IF(VLOOKUP(D23,登!$B$4:$I$103,2,0)=登!$B$1-2,3,"学年ミス"))),"番号ミス"))</f>
        <v/>
      </c>
      <c r="H23" s="165" t="str">
        <f t="shared" si="0"/>
        <v/>
      </c>
    </row>
    <row r="24" spans="1:12" ht="12" customHeight="1">
      <c r="A24" s="175" t="str">
        <f>IF($B$2=1,IF($D$22="","",IF(COUNT($D$22:$D$24)=3,VLOOKUP(登!$D$1,立男!$A$4:$I$100,7,0)+3000,IF(COUNT($D$22:$D$24)=2,VLOOKUP(登!$D$1,立男!$A$4:$I$100,7,0)+3100,VLOOKUP(登!$D$1,立男!$A$4:$I$100,7,0)+3200))),IF($D$22="","",IF(COUNT($D$22:$D$24)=3,VLOOKUP(登!$D$1,立女!$A$4:$I$100,7,0)+3000,IF(COUNT($D$22:$D$24)=2,VLOOKUP(登!$D$1,立女!$A$4:$I$100,7,0)+3100,VLOOKUP(登!$D$1,立女!$A$4:$I$100,7,0)+3200))))</f>
        <v/>
      </c>
      <c r="B24" s="176" t="s">
        <v>21</v>
      </c>
      <c r="C24" s="187" t="str">
        <f>IF(D24="","",登!$F$1)</f>
        <v/>
      </c>
      <c r="D24" s="66"/>
      <c r="E24" s="187">
        <v>12</v>
      </c>
      <c r="F24" s="188" t="str">
        <f>IF(D24="","",IF(COUNTIF($D$14:D23,"")&gt;0,"上から詰めて入力",IF(INT(VALUE(RIGHT(D24,3))/100)=$B$2,VLOOKUP(D24,登!$B$4:$I$103,7,0),"部員番号入力ミス")))</f>
        <v/>
      </c>
      <c r="G24" s="181" t="str">
        <f>IF(D24="","",IF(INT(VALUE(RIGHT(D24,3))/100)=$B$2,IF(VLOOKUP(D24,登!$B$4:$I$103,2,0)=登!$B$1,1,IF(VLOOKUP(D24,登!$B$4:$I$103,2,0)=登!$B$1-1,2,IF(VLOOKUP(D24,登!$B$4:$I$103,2,0)=登!$B$1-2,3,"学年ミス"))),"番号ミス"))</f>
        <v/>
      </c>
      <c r="H24" s="181" t="str">
        <f t="shared" si="0"/>
        <v/>
      </c>
    </row>
    <row r="25" spans="1:12" ht="12" customHeight="1">
      <c r="A25" s="154" t="str">
        <f>IF($B$2=1,IF($D$25="","",IF(COUNT($D$25:$D$27)=3,VLOOKUP(登!$D$1,立男!$A$4:$I$100,7,0)+4000,IF(COUNT($D$25:$D$27)=2,VLOOKUP(登!$D$1,立男!$A$4:$I$100,7,0)+4100,VLOOKUP(登!$D$1,立男!$A$4:$I$100,7,0)+4200))),IF($D$25="","",IF(COUNT($D$25:$D$27)=3,VLOOKUP(登!$D$1,立女!$A$4:$I$100,7,0)+4000,IF(COUNT($D$25:$D$27)=2,VLOOKUP(登!$D$1,立女!$A$4:$I$100,7,0)+4100,VLOOKUP(登!$D$1,立女!$A$4:$I$100,7,0)+4200))))</f>
        <v/>
      </c>
      <c r="B25" s="155" t="s">
        <v>21</v>
      </c>
      <c r="C25" s="185" t="str">
        <f>IF(D25="","",登!$F$1)</f>
        <v/>
      </c>
      <c r="D25" s="63"/>
      <c r="E25" s="185">
        <v>13</v>
      </c>
      <c r="F25" s="158" t="str">
        <f>IF(D25="","",IF(COUNTIF($D$14:D24,"")&gt;0,"上から詰めて入力",IF(INT(VALUE(RIGHT(D25,3))/100)=$B$2,VLOOKUP(D25,登!$B$4:$I$103,7,0),"部員番号入力ミス")))</f>
        <v/>
      </c>
      <c r="G25" s="159" t="str">
        <f>IF(D25="","",IF(INT(VALUE(RIGHT(D25,3))/100)=$B$2,IF(VLOOKUP(D25,登!$B$4:$I$103,2,0)=登!$B$1,1,IF(VLOOKUP(D25,登!$B$4:$I$103,2,0)=登!$B$1-1,2,IF(VLOOKUP(D25,登!$B$4:$I$103,2,0)=登!$B$1-2,3,"学年ミス"))),"番号ミス"))</f>
        <v/>
      </c>
      <c r="H25" s="159" t="str">
        <f t="shared" si="0"/>
        <v/>
      </c>
    </row>
    <row r="26" spans="1:12" ht="12" customHeight="1">
      <c r="A26" s="160" t="str">
        <f>IF($B$2=1,IF($D$25="","",IF(COUNT($D$25:$D$27)=3,VLOOKUP(登!$D$1,立男!$A$4:$I$100,7,0)+4000,IF(COUNT($D$25:$D$27)=2,VLOOKUP(登!$D$1,立男!$A$4:$I$100,7,0)+4100,VLOOKUP(登!$D$1,立男!$A$4:$I$100,7,0)+4200))),IF($D$25="","",IF(COUNT($D$25:$D$27)=3,VLOOKUP(登!$D$1,立女!$A$4:$I$100,7,0)+4000,IF(COUNT($D$25:$D$27)=2,VLOOKUP(登!$D$1,立女!$A$4:$I$100,7,0)+4100,VLOOKUP(登!$D$1,立女!$A$4:$I$100,7,0)+4200))))</f>
        <v/>
      </c>
      <c r="B26" s="161" t="s">
        <v>21</v>
      </c>
      <c r="C26" s="186" t="str">
        <f>IF(D26="","",登!$F$1)</f>
        <v/>
      </c>
      <c r="D26" s="64"/>
      <c r="E26" s="186">
        <v>14</v>
      </c>
      <c r="F26" s="164" t="str">
        <f>IF(D26="","",IF(COUNTIF($D$14:D25,"")&gt;0,"上から詰めて入力",IF(INT(VALUE(RIGHT(D26,3))/100)=$B$2,VLOOKUP(D26,登!$B$4:$I$103,7,0),"部員番号入力ミス")))</f>
        <v/>
      </c>
      <c r="G26" s="165" t="str">
        <f>IF(D26="","",IF(INT(VALUE(RIGHT(D26,3))/100)=$B$2,IF(VLOOKUP(D26,登!$B$4:$I$103,2,0)=登!$B$1,1,IF(VLOOKUP(D26,登!$B$4:$I$103,2,0)=登!$B$1-1,2,IF(VLOOKUP(D26,登!$B$4:$I$103,2,0)=登!$B$1-2,3,"学年ミス"))),"番号ミス"))</f>
        <v/>
      </c>
      <c r="H26" s="165" t="str">
        <f t="shared" si="0"/>
        <v/>
      </c>
    </row>
    <row r="27" spans="1:12" ht="12" customHeight="1">
      <c r="A27" s="175" t="str">
        <f>IF($B$2=1,IF($D$25="","",IF(COUNT($D$25:$D$27)=3,VLOOKUP(登!$D$1,立男!$A$4:$I$100,7,0)+4000,IF(COUNT($D$25:$D$27)=2,VLOOKUP(登!$D$1,立男!$A$4:$I$100,7,0)+4100,VLOOKUP(登!$D$1,立男!$A$4:$I$100,7,0)+4200))),IF($D$25="","",IF(COUNT($D$25:$D$27)=3,VLOOKUP(登!$D$1,立女!$A$4:$I$100,7,0)+4000,IF(COUNT($D$25:$D$27)=2,VLOOKUP(登!$D$1,立女!$A$4:$I$100,7,0)+4100,VLOOKUP(登!$D$1,立女!$A$4:$I$100,7,0)+4200))))</f>
        <v/>
      </c>
      <c r="B27" s="176" t="s">
        <v>21</v>
      </c>
      <c r="C27" s="187" t="str">
        <f>IF(D27="","",登!$F$1)</f>
        <v/>
      </c>
      <c r="D27" s="66"/>
      <c r="E27" s="187">
        <v>15</v>
      </c>
      <c r="F27" s="188" t="str">
        <f>IF(D27="","",IF(COUNTIF($D$14:D26,"")&gt;0,"上から詰めて入力",IF(INT(VALUE(RIGHT(D27,3))/100)=$B$2,VLOOKUP(D27,登!$B$4:$I$103,7,0),"部員番号入力ミス")))</f>
        <v/>
      </c>
      <c r="G27" s="181" t="str">
        <f>IF(D27="","",IF(INT(VALUE(RIGHT(D27,3))/100)=$B$2,IF(VLOOKUP(D27,登!$B$4:$I$103,2,0)=登!$B$1,1,IF(VLOOKUP(D27,登!$B$4:$I$103,2,0)=登!$B$1-1,2,IF(VLOOKUP(D27,登!$B$4:$I$103,2,0)=登!$B$1-2,3,"学年ミス"))),"番号ミス"))</f>
        <v/>
      </c>
      <c r="H27" s="181" t="str">
        <f t="shared" si="0"/>
        <v/>
      </c>
    </row>
    <row r="61" spans="1:7" s="75" customFormat="1" ht="12.75" customHeight="1">
      <c r="A61" s="410" t="s">
        <v>406</v>
      </c>
      <c r="B61" s="410"/>
      <c r="C61" s="410"/>
      <c r="D61" s="410"/>
      <c r="E61" s="407">
        <f>D7</f>
        <v>43664</v>
      </c>
      <c r="F61" s="408"/>
    </row>
    <row r="62" spans="1:7" s="75" customFormat="1" ht="12.75" customHeight="1">
      <c r="A62" s="255"/>
      <c r="B62" s="255"/>
      <c r="C62" s="255"/>
      <c r="D62" s="255"/>
      <c r="E62" s="189"/>
      <c r="F62" s="189"/>
    </row>
    <row r="63" spans="1:7" s="75" customFormat="1" ht="12.75" customHeight="1">
      <c r="A63" s="255"/>
      <c r="B63" s="255"/>
      <c r="C63" s="255"/>
      <c r="D63" s="255"/>
    </row>
    <row r="64" spans="1:7" s="75" customFormat="1" ht="12.75" customHeight="1">
      <c r="A64" s="189" t="s">
        <v>507</v>
      </c>
      <c r="B64" s="409" t="str">
        <f>IF(登!$D$1="",""," "&amp;VLOOKUP(登!$D$1,名!$G$2:$J$54,3,0))</f>
        <v/>
      </c>
      <c r="C64" s="409"/>
      <c r="D64" s="409"/>
      <c r="E64" s="189" t="s">
        <v>199</v>
      </c>
      <c r="F64" s="241" t="s">
        <v>529</v>
      </c>
      <c r="G64" s="254" t="s">
        <v>511</v>
      </c>
    </row>
    <row r="65" spans="1:11" s="75" customFormat="1" ht="12.75" customHeight="1">
      <c r="H65" s="74"/>
    </row>
    <row r="66" spans="1:11" s="75" customFormat="1" ht="12.75" customHeight="1">
      <c r="H66" s="74"/>
    </row>
    <row r="67" spans="1:11" s="75" customFormat="1" ht="12.75" customHeight="1">
      <c r="A67" s="189" t="s">
        <v>510</v>
      </c>
      <c r="B67" s="409" t="str">
        <f>IF(登!$D$1="",""," "&amp;VLOOKUP(登!$D$1,名!$G$2:$J$54,4,0))</f>
        <v/>
      </c>
      <c r="C67" s="409"/>
      <c r="D67" s="409"/>
      <c r="E67" s="189" t="s">
        <v>509</v>
      </c>
      <c r="F67" s="241" t="s">
        <v>529</v>
      </c>
      <c r="G67" s="254" t="s">
        <v>511</v>
      </c>
      <c r="H67" s="74"/>
      <c r="K67" s="190"/>
    </row>
    <row r="70" spans="1:11" s="191" customFormat="1" ht="22.5" customHeight="1">
      <c r="B70" s="256">
        <f>B2</f>
        <v>1</v>
      </c>
      <c r="C70" s="398" t="str">
        <f>C2</f>
        <v>令和元年度関東高校弓道個人選手権選抜大会県予選会</v>
      </c>
      <c r="D70" s="399"/>
      <c r="E70" s="399"/>
      <c r="F70" s="399"/>
      <c r="G70" s="400"/>
      <c r="H70" s="192"/>
    </row>
    <row r="71" spans="1:11" s="191" customFormat="1" ht="12" customHeight="1">
      <c r="B71" s="193"/>
      <c r="C71" s="193"/>
      <c r="D71" s="194"/>
      <c r="E71" s="194"/>
      <c r="F71" s="194"/>
      <c r="G71" s="195"/>
      <c r="H71" s="192"/>
    </row>
    <row r="72" spans="1:11" s="191" customFormat="1" ht="12" customHeight="1">
      <c r="B72" s="401" t="str">
        <f>B4</f>
        <v>監督名</v>
      </c>
      <c r="C72" s="401"/>
      <c r="D72" s="402" t="str">
        <f>D4</f>
        <v>○　○　○　○</v>
      </c>
      <c r="E72" s="403"/>
      <c r="F72" s="404"/>
      <c r="G72" s="405" t="str">
        <f>G4</f>
        <v>弁当注文個数</v>
      </c>
      <c r="H72" s="406"/>
      <c r="I72" s="196">
        <f>I4</f>
        <v>0</v>
      </c>
      <c r="J72" s="192"/>
    </row>
    <row r="73" spans="1:11" s="191" customFormat="1" ht="12" customHeight="1">
      <c r="B73" s="193"/>
      <c r="C73" s="193"/>
      <c r="D73" s="194"/>
      <c r="E73" s="194"/>
      <c r="F73" s="194"/>
      <c r="G73" s="194"/>
      <c r="H73" s="192"/>
    </row>
    <row r="74" spans="1:11" s="191" customFormat="1" ht="12" customHeight="1">
      <c r="B74" s="388" t="str">
        <f>B6</f>
        <v>大会番号</v>
      </c>
      <c r="C74" s="388"/>
      <c r="D74" s="397">
        <f>D6</f>
        <v>9</v>
      </c>
      <c r="E74" s="397"/>
      <c r="F74" s="397"/>
      <c r="G74" s="397"/>
      <c r="H74" s="192"/>
      <c r="I74" s="197"/>
    </row>
    <row r="75" spans="1:11" s="191" customFormat="1" ht="12" customHeight="1">
      <c r="B75" s="388" t="str">
        <f t="shared" ref="B75:B77" si="1">B7</f>
        <v>参加申込締切</v>
      </c>
      <c r="C75" s="388"/>
      <c r="D75" s="389">
        <f>D7</f>
        <v>43664</v>
      </c>
      <c r="E75" s="390"/>
      <c r="F75" s="391" t="str">
        <f>F7</f>
        <v>木曜日　１６時</v>
      </c>
      <c r="G75" s="392"/>
      <c r="H75" s="192"/>
      <c r="I75" s="197"/>
    </row>
    <row r="76" spans="1:11" s="191" customFormat="1" ht="12" customHeight="1">
      <c r="B76" s="388" t="str">
        <f t="shared" si="1"/>
        <v>大会開催日</v>
      </c>
      <c r="C76" s="388"/>
      <c r="D76" s="389">
        <f>D8</f>
        <v>43672</v>
      </c>
      <c r="E76" s="390"/>
      <c r="F76" s="391" t="str">
        <f>F8</f>
        <v>金曜日</v>
      </c>
      <c r="G76" s="392"/>
      <c r="H76" s="192"/>
      <c r="I76" s="197"/>
    </row>
    <row r="77" spans="1:11" s="191" customFormat="1" ht="12" customHeight="1">
      <c r="B77" s="388" t="str">
        <f t="shared" si="1"/>
        <v>申込先</v>
      </c>
      <c r="C77" s="388"/>
      <c r="D77" s="393" t="str">
        <f>D9</f>
        <v>高体連弓道専門部大会申込ｱﾄﾞﾚｽ</v>
      </c>
      <c r="E77" s="394"/>
      <c r="F77" s="448" t="str">
        <f>F9</f>
        <v>gunkyumi@yahoo.co.jp</v>
      </c>
      <c r="G77" s="449"/>
      <c r="H77" s="192"/>
      <c r="I77" s="197"/>
    </row>
    <row r="78" spans="1:11" s="191" customFormat="1" ht="12" customHeight="1">
      <c r="B78" s="197"/>
      <c r="C78" s="197"/>
      <c r="D78" s="195"/>
      <c r="E78" s="195"/>
      <c r="F78" s="195"/>
      <c r="G78" s="195"/>
      <c r="H78" s="192"/>
      <c r="I78" s="197"/>
    </row>
    <row r="79" spans="1:11" s="191" customFormat="1" ht="22.5" customHeight="1">
      <c r="B79" s="384" t="str">
        <f>B11</f>
        <v>男　子　個　人　参　加　申　込　書</v>
      </c>
      <c r="C79" s="384"/>
      <c r="D79" s="384"/>
      <c r="E79" s="384"/>
      <c r="F79" s="384"/>
      <c r="G79" s="384"/>
      <c r="H79" s="192"/>
    </row>
    <row r="80" spans="1:11" s="191" customFormat="1" ht="12" customHeight="1">
      <c r="A80" s="256" t="str">
        <f>A12</f>
        <v>立順</v>
      </c>
      <c r="B80" s="198" t="str">
        <f t="shared" ref="B80:H80" si="2">B12</f>
        <v>チーム</v>
      </c>
      <c r="C80" s="199" t="str">
        <f t="shared" si="2"/>
        <v>校　名</v>
      </c>
      <c r="D80" s="200" t="str">
        <f t="shared" si="2"/>
        <v>登録番号</v>
      </c>
      <c r="E80" s="201" t="str">
        <f t="shared" si="2"/>
        <v>立　順</v>
      </c>
      <c r="F80" s="202" t="str">
        <f t="shared" si="2"/>
        <v>選　　手　　名</v>
      </c>
      <c r="G80" s="203" t="str">
        <f t="shared" si="2"/>
        <v>学　年</v>
      </c>
      <c r="H80" s="256" t="str">
        <f t="shared" si="2"/>
        <v>重複ﾁｪｯｸ</v>
      </c>
    </row>
    <row r="81" spans="1:12" s="191" customFormat="1" ht="12" customHeight="1">
      <c r="A81" s="204" t="str">
        <f>IF(A13="","",A13)</f>
        <v/>
      </c>
      <c r="B81" s="205" t="str">
        <f t="shared" ref="B81:H81" si="3">IF(B13="","",B13)</f>
        <v>個</v>
      </c>
      <c r="C81" s="234" t="str">
        <f t="shared" si="3"/>
        <v/>
      </c>
      <c r="D81" s="139" t="str">
        <f t="shared" si="3"/>
        <v/>
      </c>
      <c r="E81" s="234">
        <f t="shared" si="3"/>
        <v>1</v>
      </c>
      <c r="F81" s="208" t="str">
        <f t="shared" si="3"/>
        <v/>
      </c>
      <c r="G81" s="209" t="str">
        <f t="shared" si="3"/>
        <v/>
      </c>
      <c r="H81" s="209" t="str">
        <f t="shared" si="3"/>
        <v/>
      </c>
    </row>
    <row r="82" spans="1:12" s="191" customFormat="1" ht="12" customHeight="1">
      <c r="A82" s="210" t="str">
        <f t="shared" ref="A82:H82" si="4">IF(A14="","",A14)</f>
        <v/>
      </c>
      <c r="B82" s="211" t="str">
        <f t="shared" si="4"/>
        <v>個</v>
      </c>
      <c r="C82" s="235" t="str">
        <f t="shared" si="4"/>
        <v/>
      </c>
      <c r="D82" s="140" t="str">
        <f t="shared" si="4"/>
        <v/>
      </c>
      <c r="E82" s="235">
        <f t="shared" si="4"/>
        <v>2</v>
      </c>
      <c r="F82" s="214" t="str">
        <f t="shared" si="4"/>
        <v/>
      </c>
      <c r="G82" s="215" t="str">
        <f t="shared" si="4"/>
        <v/>
      </c>
      <c r="H82" s="215" t="str">
        <f t="shared" si="4"/>
        <v/>
      </c>
    </row>
    <row r="83" spans="1:12" s="191" customFormat="1" ht="12" customHeight="1">
      <c r="A83" s="225" t="str">
        <f t="shared" ref="A83:H83" si="5">IF(A15="","",A15)</f>
        <v/>
      </c>
      <c r="B83" s="226" t="str">
        <f t="shared" si="5"/>
        <v>個</v>
      </c>
      <c r="C83" s="236" t="str">
        <f t="shared" si="5"/>
        <v/>
      </c>
      <c r="D83" s="141" t="str">
        <f t="shared" si="5"/>
        <v/>
      </c>
      <c r="E83" s="236">
        <f t="shared" si="5"/>
        <v>3</v>
      </c>
      <c r="F83" s="237" t="str">
        <f t="shared" si="5"/>
        <v/>
      </c>
      <c r="G83" s="230" t="str">
        <f t="shared" si="5"/>
        <v/>
      </c>
      <c r="H83" s="230" t="str">
        <f t="shared" si="5"/>
        <v/>
      </c>
    </row>
    <row r="84" spans="1:12" s="191" customFormat="1" ht="12" customHeight="1">
      <c r="A84" s="204" t="str">
        <f t="shared" ref="A84:H84" si="6">IF(A16="","",A16)</f>
        <v/>
      </c>
      <c r="B84" s="205" t="str">
        <f t="shared" si="6"/>
        <v>個</v>
      </c>
      <c r="C84" s="234" t="str">
        <f t="shared" si="6"/>
        <v/>
      </c>
      <c r="D84" s="139" t="str">
        <f t="shared" si="6"/>
        <v/>
      </c>
      <c r="E84" s="234">
        <f t="shared" si="6"/>
        <v>4</v>
      </c>
      <c r="F84" s="208" t="str">
        <f t="shared" si="6"/>
        <v/>
      </c>
      <c r="G84" s="209" t="str">
        <f t="shared" si="6"/>
        <v/>
      </c>
      <c r="H84" s="209" t="str">
        <f t="shared" si="6"/>
        <v/>
      </c>
    </row>
    <row r="85" spans="1:12" s="191" customFormat="1" ht="12" customHeight="1">
      <c r="A85" s="210" t="str">
        <f t="shared" ref="A85:H85" si="7">IF(A17="","",A17)</f>
        <v/>
      </c>
      <c r="B85" s="211" t="str">
        <f t="shared" si="7"/>
        <v>個</v>
      </c>
      <c r="C85" s="235" t="str">
        <f t="shared" si="7"/>
        <v/>
      </c>
      <c r="D85" s="140" t="str">
        <f t="shared" si="7"/>
        <v/>
      </c>
      <c r="E85" s="235">
        <f t="shared" si="7"/>
        <v>5</v>
      </c>
      <c r="F85" s="214" t="str">
        <f t="shared" si="7"/>
        <v/>
      </c>
      <c r="G85" s="215" t="str">
        <f t="shared" si="7"/>
        <v/>
      </c>
      <c r="H85" s="215" t="str">
        <f t="shared" si="7"/>
        <v/>
      </c>
    </row>
    <row r="86" spans="1:12" s="191" customFormat="1" ht="12" customHeight="1">
      <c r="A86" s="225" t="str">
        <f t="shared" ref="A86:H86" si="8">IF(A18="","",A18)</f>
        <v/>
      </c>
      <c r="B86" s="226" t="str">
        <f t="shared" si="8"/>
        <v>個</v>
      </c>
      <c r="C86" s="236" t="str">
        <f t="shared" si="8"/>
        <v/>
      </c>
      <c r="D86" s="141" t="str">
        <f t="shared" si="8"/>
        <v/>
      </c>
      <c r="E86" s="236">
        <f t="shared" si="8"/>
        <v>6</v>
      </c>
      <c r="F86" s="237" t="str">
        <f t="shared" si="8"/>
        <v/>
      </c>
      <c r="G86" s="230" t="str">
        <f t="shared" si="8"/>
        <v/>
      </c>
      <c r="H86" s="230" t="str">
        <f t="shared" si="8"/>
        <v/>
      </c>
    </row>
    <row r="87" spans="1:12" s="191" customFormat="1" ht="12" customHeight="1">
      <c r="A87" s="204" t="str">
        <f t="shared" ref="A87:H87" si="9">IF(A19="","",A19)</f>
        <v/>
      </c>
      <c r="B87" s="205" t="str">
        <f t="shared" si="9"/>
        <v>個</v>
      </c>
      <c r="C87" s="234" t="str">
        <f t="shared" si="9"/>
        <v/>
      </c>
      <c r="D87" s="139" t="str">
        <f t="shared" si="9"/>
        <v/>
      </c>
      <c r="E87" s="234">
        <f t="shared" si="9"/>
        <v>7</v>
      </c>
      <c r="F87" s="208" t="str">
        <f t="shared" si="9"/>
        <v/>
      </c>
      <c r="G87" s="209" t="str">
        <f t="shared" si="9"/>
        <v/>
      </c>
      <c r="H87" s="209" t="str">
        <f t="shared" si="9"/>
        <v/>
      </c>
    </row>
    <row r="88" spans="1:12" s="191" customFormat="1" ht="12" customHeight="1">
      <c r="A88" s="210" t="str">
        <f t="shared" ref="A88:H88" si="10">IF(A20="","",A20)</f>
        <v/>
      </c>
      <c r="B88" s="211" t="str">
        <f t="shared" si="10"/>
        <v>個</v>
      </c>
      <c r="C88" s="235" t="str">
        <f t="shared" si="10"/>
        <v/>
      </c>
      <c r="D88" s="140" t="str">
        <f t="shared" si="10"/>
        <v/>
      </c>
      <c r="E88" s="235">
        <f t="shared" si="10"/>
        <v>8</v>
      </c>
      <c r="F88" s="214" t="str">
        <f t="shared" si="10"/>
        <v/>
      </c>
      <c r="G88" s="215" t="str">
        <f t="shared" si="10"/>
        <v/>
      </c>
      <c r="H88" s="215" t="str">
        <f t="shared" si="10"/>
        <v/>
      </c>
    </row>
    <row r="89" spans="1:12" s="191" customFormat="1" ht="12" customHeight="1">
      <c r="A89" s="225" t="str">
        <f t="shared" ref="A89:H89" si="11">IF(A21="","",A21)</f>
        <v/>
      </c>
      <c r="B89" s="226" t="str">
        <f t="shared" si="11"/>
        <v>個</v>
      </c>
      <c r="C89" s="236" t="str">
        <f t="shared" si="11"/>
        <v/>
      </c>
      <c r="D89" s="141" t="str">
        <f t="shared" si="11"/>
        <v/>
      </c>
      <c r="E89" s="236">
        <f t="shared" si="11"/>
        <v>9</v>
      </c>
      <c r="F89" s="237" t="str">
        <f t="shared" si="11"/>
        <v/>
      </c>
      <c r="G89" s="230" t="str">
        <f t="shared" si="11"/>
        <v/>
      </c>
      <c r="H89" s="230" t="str">
        <f t="shared" si="11"/>
        <v/>
      </c>
      <c r="L89" s="197"/>
    </row>
    <row r="90" spans="1:12" s="191" customFormat="1" ht="12" customHeight="1">
      <c r="A90" s="204" t="str">
        <f t="shared" ref="A90:H90" si="12">IF(A22="","",A22)</f>
        <v/>
      </c>
      <c r="B90" s="205" t="str">
        <f t="shared" si="12"/>
        <v>個</v>
      </c>
      <c r="C90" s="234" t="str">
        <f t="shared" si="12"/>
        <v/>
      </c>
      <c r="D90" s="139" t="str">
        <f t="shared" si="12"/>
        <v/>
      </c>
      <c r="E90" s="234">
        <f t="shared" si="12"/>
        <v>10</v>
      </c>
      <c r="F90" s="208" t="str">
        <f t="shared" si="12"/>
        <v/>
      </c>
      <c r="G90" s="209" t="str">
        <f t="shared" si="12"/>
        <v/>
      </c>
      <c r="H90" s="209" t="str">
        <f t="shared" si="12"/>
        <v/>
      </c>
    </row>
    <row r="91" spans="1:12" s="191" customFormat="1" ht="12" customHeight="1">
      <c r="A91" s="210" t="str">
        <f t="shared" ref="A91:H91" si="13">IF(A23="","",A23)</f>
        <v/>
      </c>
      <c r="B91" s="211" t="str">
        <f t="shared" si="13"/>
        <v>個</v>
      </c>
      <c r="C91" s="235" t="str">
        <f t="shared" si="13"/>
        <v/>
      </c>
      <c r="D91" s="140" t="str">
        <f t="shared" si="13"/>
        <v/>
      </c>
      <c r="E91" s="235">
        <f t="shared" si="13"/>
        <v>11</v>
      </c>
      <c r="F91" s="214" t="str">
        <f t="shared" si="13"/>
        <v/>
      </c>
      <c r="G91" s="215" t="str">
        <f t="shared" si="13"/>
        <v/>
      </c>
      <c r="H91" s="215" t="str">
        <f t="shared" si="13"/>
        <v/>
      </c>
    </row>
    <row r="92" spans="1:12" s="191" customFormat="1" ht="12" customHeight="1">
      <c r="A92" s="225" t="str">
        <f t="shared" ref="A92:H92" si="14">IF(A24="","",A24)</f>
        <v/>
      </c>
      <c r="B92" s="226" t="str">
        <f t="shared" si="14"/>
        <v>個</v>
      </c>
      <c r="C92" s="236" t="str">
        <f t="shared" si="14"/>
        <v/>
      </c>
      <c r="D92" s="141" t="str">
        <f t="shared" si="14"/>
        <v/>
      </c>
      <c r="E92" s="236">
        <f t="shared" si="14"/>
        <v>12</v>
      </c>
      <c r="F92" s="237" t="str">
        <f t="shared" si="14"/>
        <v/>
      </c>
      <c r="G92" s="230" t="str">
        <f t="shared" si="14"/>
        <v/>
      </c>
      <c r="H92" s="230" t="str">
        <f t="shared" si="14"/>
        <v/>
      </c>
    </row>
    <row r="93" spans="1:12" ht="12" customHeight="1">
      <c r="A93" s="154" t="str">
        <f t="shared" ref="A93:H93" si="15">IF(A25="","",A25)</f>
        <v/>
      </c>
      <c r="B93" s="155" t="str">
        <f t="shared" si="15"/>
        <v>個</v>
      </c>
      <c r="C93" s="185" t="str">
        <f t="shared" si="15"/>
        <v/>
      </c>
      <c r="D93" s="139" t="str">
        <f t="shared" si="15"/>
        <v/>
      </c>
      <c r="E93" s="185">
        <f t="shared" si="15"/>
        <v>13</v>
      </c>
      <c r="F93" s="158" t="str">
        <f t="shared" si="15"/>
        <v/>
      </c>
      <c r="G93" s="159" t="str">
        <f t="shared" si="15"/>
        <v/>
      </c>
      <c r="H93" s="159" t="str">
        <f t="shared" si="15"/>
        <v/>
      </c>
    </row>
    <row r="94" spans="1:12" ht="12" customHeight="1">
      <c r="A94" s="160" t="str">
        <f t="shared" ref="A94:H94" si="16">IF(A26="","",A26)</f>
        <v/>
      </c>
      <c r="B94" s="161" t="str">
        <f t="shared" si="16"/>
        <v>個</v>
      </c>
      <c r="C94" s="186" t="str">
        <f t="shared" si="16"/>
        <v/>
      </c>
      <c r="D94" s="140" t="str">
        <f t="shared" si="16"/>
        <v/>
      </c>
      <c r="E94" s="186">
        <f t="shared" si="16"/>
        <v>14</v>
      </c>
      <c r="F94" s="164" t="str">
        <f t="shared" si="16"/>
        <v/>
      </c>
      <c r="G94" s="165" t="str">
        <f t="shared" si="16"/>
        <v/>
      </c>
      <c r="H94" s="165" t="str">
        <f t="shared" si="16"/>
        <v/>
      </c>
    </row>
    <row r="95" spans="1:12" ht="12" customHeight="1">
      <c r="A95" s="175" t="str">
        <f t="shared" ref="A95:H95" si="17">IF(A27="","",A27)</f>
        <v/>
      </c>
      <c r="B95" s="176" t="str">
        <f t="shared" si="17"/>
        <v>個</v>
      </c>
      <c r="C95" s="187" t="str">
        <f t="shared" si="17"/>
        <v/>
      </c>
      <c r="D95" s="141" t="str">
        <f t="shared" si="17"/>
        <v/>
      </c>
      <c r="E95" s="187">
        <f t="shared" si="17"/>
        <v>15</v>
      </c>
      <c r="F95" s="188" t="str">
        <f t="shared" si="17"/>
        <v/>
      </c>
      <c r="G95" s="181" t="str">
        <f t="shared" si="17"/>
        <v/>
      </c>
      <c r="H95" s="181" t="str">
        <f t="shared" si="17"/>
        <v/>
      </c>
    </row>
    <row r="129" spans="1:11" s="75" customFormat="1" ht="12.75" customHeight="1">
      <c r="A129" s="410" t="s">
        <v>406</v>
      </c>
      <c r="B129" s="410"/>
      <c r="C129" s="410"/>
      <c r="D129" s="410"/>
      <c r="E129" s="386">
        <f>E61</f>
        <v>43664</v>
      </c>
      <c r="F129" s="387"/>
    </row>
    <row r="130" spans="1:11" s="75" customFormat="1" ht="12.75" customHeight="1">
      <c r="A130" s="255"/>
      <c r="B130" s="255"/>
      <c r="C130" s="255"/>
      <c r="D130" s="255"/>
      <c r="E130" s="239"/>
      <c r="F130" s="239"/>
    </row>
    <row r="131" spans="1:11" s="75" customFormat="1" ht="12.75" customHeight="1">
      <c r="A131" s="255"/>
      <c r="B131" s="255"/>
      <c r="C131" s="255"/>
      <c r="D131" s="255"/>
      <c r="E131" s="238"/>
      <c r="F131" s="238"/>
    </row>
    <row r="132" spans="1:11" s="75" customFormat="1" ht="12.75" customHeight="1">
      <c r="A132" s="189" t="s">
        <v>507</v>
      </c>
      <c r="B132" s="450" t="str">
        <f>B64</f>
        <v/>
      </c>
      <c r="C132" s="450"/>
      <c r="D132" s="450"/>
      <c r="E132" s="239" t="s">
        <v>199</v>
      </c>
      <c r="F132" s="249" t="str">
        <f>F64</f>
        <v xml:space="preserve">○　○　○　○　 </v>
      </c>
      <c r="G132" s="254" t="s">
        <v>511</v>
      </c>
    </row>
    <row r="133" spans="1:11" s="75" customFormat="1" ht="12.75" customHeight="1">
      <c r="E133" s="238"/>
      <c r="F133" s="238"/>
      <c r="H133" s="74"/>
    </row>
    <row r="134" spans="1:11" s="75" customFormat="1" ht="12.75" customHeight="1">
      <c r="E134" s="238"/>
      <c r="F134" s="238"/>
      <c r="H134" s="74"/>
    </row>
    <row r="135" spans="1:11" s="75" customFormat="1" ht="12.75" customHeight="1">
      <c r="A135" s="189" t="s">
        <v>510</v>
      </c>
      <c r="B135" s="450" t="str">
        <f>B67</f>
        <v/>
      </c>
      <c r="C135" s="450"/>
      <c r="D135" s="450"/>
      <c r="E135" s="239" t="s">
        <v>509</v>
      </c>
      <c r="F135" s="249" t="str">
        <f>F67</f>
        <v xml:space="preserve">○　○　○　○　 </v>
      </c>
      <c r="G135" s="254" t="s">
        <v>511</v>
      </c>
      <c r="H135" s="74"/>
      <c r="K135" s="190"/>
    </row>
  </sheetData>
  <sheetProtection password="CC71" sheet="1" objects="1" scenarios="1"/>
  <mergeCells count="43">
    <mergeCell ref="A2:A4"/>
    <mergeCell ref="K2:K3"/>
    <mergeCell ref="L2:L3"/>
    <mergeCell ref="F7:G7"/>
    <mergeCell ref="B4:C4"/>
    <mergeCell ref="B6:C6"/>
    <mergeCell ref="D6:G6"/>
    <mergeCell ref="B7:C7"/>
    <mergeCell ref="C2:G2"/>
    <mergeCell ref="D4:F4"/>
    <mergeCell ref="G4:H4"/>
    <mergeCell ref="B11:G11"/>
    <mergeCell ref="D7:E7"/>
    <mergeCell ref="B9:C9"/>
    <mergeCell ref="F9:G9"/>
    <mergeCell ref="D9:E9"/>
    <mergeCell ref="B8:C8"/>
    <mergeCell ref="D8:E8"/>
    <mergeCell ref="F8:G8"/>
    <mergeCell ref="C70:G70"/>
    <mergeCell ref="B72:C72"/>
    <mergeCell ref="D72:F72"/>
    <mergeCell ref="G72:H72"/>
    <mergeCell ref="A61:D61"/>
    <mergeCell ref="E61:F61"/>
    <mergeCell ref="B64:D64"/>
    <mergeCell ref="B67:D67"/>
    <mergeCell ref="B74:C74"/>
    <mergeCell ref="D74:G74"/>
    <mergeCell ref="B75:C75"/>
    <mergeCell ref="D75:E75"/>
    <mergeCell ref="F75:G75"/>
    <mergeCell ref="B76:C76"/>
    <mergeCell ref="D76:E76"/>
    <mergeCell ref="F76:G76"/>
    <mergeCell ref="B77:C77"/>
    <mergeCell ref="D77:E77"/>
    <mergeCell ref="F77:G77"/>
    <mergeCell ref="B79:G79"/>
    <mergeCell ref="A129:D129"/>
    <mergeCell ref="E129:F129"/>
    <mergeCell ref="B132:D132"/>
    <mergeCell ref="B135:D135"/>
  </mergeCells>
  <phoneticPr fontId="2"/>
  <dataValidations count="1">
    <dataValidation type="list" allowBlank="1" showInputMessage="1" showErrorMessage="1" errorTitle="個数エラー" error="0～2を入力" sqref="I4">
      <formula1>"0,1,2"</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L135"/>
  <sheetViews>
    <sheetView zoomScaleNormal="100" workbookViewId="0"/>
  </sheetViews>
  <sheetFormatPr defaultColWidth="9" defaultRowHeight="12" customHeight="1"/>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9" width="4.25" style="143" customWidth="1"/>
    <col min="10" max="10" width="6.125" style="143" customWidth="1"/>
    <col min="11" max="16384" width="9" style="143"/>
  </cols>
  <sheetData>
    <row r="1" spans="1:12" ht="12.75"/>
    <row r="2" spans="1:12" ht="22.5" customHeight="1">
      <c r="A2" s="382" t="s">
        <v>518</v>
      </c>
      <c r="B2" s="252">
        <v>2</v>
      </c>
      <c r="C2" s="424" t="str">
        <f>日!B1&amp;"関東高校弓道個人選手権選抜大会県予選会"</f>
        <v>令和元年度関東高校弓道個人選手権選抜大会県予選会</v>
      </c>
      <c r="D2" s="425"/>
      <c r="E2" s="425"/>
      <c r="F2" s="425"/>
      <c r="G2" s="426"/>
      <c r="K2" s="415" t="s">
        <v>252</v>
      </c>
      <c r="L2" s="415" t="s">
        <v>251</v>
      </c>
    </row>
    <row r="3" spans="1:12" ht="12" customHeight="1">
      <c r="A3" s="382"/>
      <c r="B3" s="144"/>
      <c r="C3" s="144"/>
      <c r="D3" s="145"/>
      <c r="E3" s="145"/>
      <c r="F3" s="145"/>
      <c r="G3" s="146"/>
      <c r="K3" s="415"/>
      <c r="L3" s="415"/>
    </row>
    <row r="4" spans="1:12" ht="12"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531</v>
      </c>
    </row>
    <row r="5" spans="1:12" ht="12" customHeight="1">
      <c r="B5" s="144"/>
      <c r="C5" s="144"/>
      <c r="D5" s="145"/>
      <c r="E5" s="145"/>
      <c r="F5" s="145"/>
      <c r="G5" s="145"/>
      <c r="K5" s="253" t="str">
        <f>SUBSTITUTE(SUBSTITUTE(K4," ",""),"　","")</f>
        <v>○○</v>
      </c>
      <c r="L5" s="253" t="str">
        <f>SUBSTITUTE(SUBSTITUTE(L4," ",""),"　","")</f>
        <v>○○</v>
      </c>
    </row>
    <row r="6" spans="1:12" ht="12" customHeight="1">
      <c r="B6" s="411" t="s">
        <v>39</v>
      </c>
      <c r="C6" s="411"/>
      <c r="D6" s="427">
        <v>10</v>
      </c>
      <c r="E6" s="427"/>
      <c r="F6" s="427"/>
      <c r="G6" s="427"/>
      <c r="I6" s="147"/>
    </row>
    <row r="7" spans="1:12" ht="12" customHeight="1">
      <c r="B7" s="411" t="s">
        <v>40</v>
      </c>
      <c r="C7" s="411"/>
      <c r="D7" s="422">
        <f>VLOOKUP(D6,日!$B$2:$F$111,3,0)</f>
        <v>43664</v>
      </c>
      <c r="E7" s="423"/>
      <c r="F7" s="416" t="str">
        <f>TEXT(WEEKDAY(D7,1),"aaaa")&amp;"　１６時"</f>
        <v>木曜日　１６時</v>
      </c>
      <c r="G7" s="417"/>
      <c r="I7" s="147"/>
    </row>
    <row r="8" spans="1:12" ht="12" customHeight="1">
      <c r="B8" s="411" t="s">
        <v>38</v>
      </c>
      <c r="C8" s="411"/>
      <c r="D8" s="418">
        <f>VLOOKUP(D6,日!$B$2:$F$111,5,0)</f>
        <v>43671</v>
      </c>
      <c r="E8" s="419"/>
      <c r="F8" s="420" t="str">
        <f>TEXT(WEEKDAY(D8,1),"aaaa")</f>
        <v>木曜日</v>
      </c>
      <c r="G8" s="421"/>
      <c r="I8" s="147"/>
    </row>
    <row r="9" spans="1:12" ht="12" customHeight="1">
      <c r="B9" s="411" t="s">
        <v>41</v>
      </c>
      <c r="C9" s="411"/>
      <c r="D9" s="412" t="s">
        <v>45</v>
      </c>
      <c r="E9" s="413"/>
      <c r="F9" s="395" t="s">
        <v>46</v>
      </c>
      <c r="G9" s="396"/>
      <c r="I9" s="147"/>
    </row>
    <row r="10" spans="1:12" ht="12" customHeight="1">
      <c r="B10" s="147"/>
      <c r="C10" s="147"/>
      <c r="D10" s="146"/>
      <c r="E10" s="146"/>
      <c r="F10" s="146"/>
      <c r="G10" s="146"/>
      <c r="I10" s="147"/>
    </row>
    <row r="11" spans="1:12" ht="22.5" customHeight="1">
      <c r="B11" s="414" t="str">
        <f>IF(B2=1,"男　子　個　人　参　加　申　込　書","女　子　個　人　参　加　申　込　書")</f>
        <v>女　子　個　人　参　加　申　込　書</v>
      </c>
      <c r="C11" s="414"/>
      <c r="D11" s="414"/>
      <c r="E11" s="414"/>
      <c r="F11" s="414"/>
      <c r="G11" s="414"/>
    </row>
    <row r="12" spans="1:12" ht="12" customHeight="1">
      <c r="A12" s="252" t="s">
        <v>32</v>
      </c>
      <c r="B12" s="148" t="s">
        <v>18</v>
      </c>
      <c r="C12" s="149" t="s">
        <v>10</v>
      </c>
      <c r="D12" s="150" t="s">
        <v>33</v>
      </c>
      <c r="E12" s="151" t="s">
        <v>12</v>
      </c>
      <c r="F12" s="152" t="s">
        <v>13</v>
      </c>
      <c r="G12" s="153" t="s">
        <v>14</v>
      </c>
      <c r="H12" s="252" t="s">
        <v>47</v>
      </c>
    </row>
    <row r="13" spans="1:12" ht="12" customHeight="1">
      <c r="A13" s="154" t="str">
        <f>IF($B$2=1,IF($D$13="","",IF(COUNT($D$13:$D$15)=3,VLOOKUP(登!$D$1,立男!$A$4:$I$100,7,0),IF(COUNT($D$13:$D$15)=2,VLOOKUP(登!$D$1,立男!$A$4:$I$100,7,0)+100,VLOOKUP(登!$D$1,立男!$A$4:$I$100,7,0)+200))),IF($D$13="","",IF(COUNT($D$13:$D$15)=3,VLOOKUP(登!$D$1,立女!$A$4:$I$100,7,0),IF(COUNT($D$13:$D$15)=2,VLOOKUP(登!$D$1,立女!$A$4:$I$100,7,0)+100,VLOOKUP(登!$D$1,立女!$A$4:$I$100,7,0)+200))))</f>
        <v/>
      </c>
      <c r="B13" s="155" t="s">
        <v>21</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IF(D13="","",IF(COUNTIF($D$13:$D$27,D13)&gt;1,"選手重複!!","OK"))</f>
        <v/>
      </c>
    </row>
    <row r="14" spans="1:12" ht="12" customHeight="1">
      <c r="A14" s="160" t="str">
        <f>IF($B$2=1,IF($D$13="","",IF(COUNT($D$13:$D$15)=3,VLOOKUP(登!$D$1,立男!$A$4:$I$100,7,0),IF(COUNT($D$13:$D$15)=2,VLOOKUP(登!$D$1,立男!$A$4:$I$100,7,0)+100,VLOOKUP(登!$D$1,立男!$A$4:$I$100,7,0)+200))),IF($D$13="","",IF(COUNT($D$13:$D$15)=3,VLOOKUP(登!$D$1,立女!$A$4:$I$100,7,0),IF(COUNT($D$13:$D$15)=2,VLOOKUP(登!$D$1,立女!$A$4:$I$100,7,0)+100,VLOOKUP(登!$D$1,立女!$A$4:$I$100,7,0)+200))))</f>
        <v/>
      </c>
      <c r="B14" s="161" t="s">
        <v>21</v>
      </c>
      <c r="C14" s="186" t="str">
        <f>IF(D14="","",登!$F$1)</f>
        <v/>
      </c>
      <c r="D14" s="64"/>
      <c r="E14" s="186">
        <v>2</v>
      </c>
      <c r="F14" s="164" t="str">
        <f>IF(D14="","",IF(COUNTIF($D13:D$14,"")&gt;0,"上から詰めて入力",IF(INT(VALUE(RIGHT(D14,3))/100)=$B$2,VLOOKUP(D14,登!$B$4:$I$103,7,0),"部員番号入力ミス")))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 t="shared" ref="H14:H27" si="0">IF(D14="","",IF(COUNTIF($D$13:$D$27,D14)&gt;1,"選手重複!!","OK"))</f>
        <v/>
      </c>
    </row>
    <row r="15" spans="1:12" ht="12" customHeight="1">
      <c r="A15" s="175" t="str">
        <f>IF($B$2=1,IF($D$13="","",IF(COUNT($D$13:$D$15)=3,VLOOKUP(登!$D$1,立男!$A$4:$I$100,7,0),IF(COUNT($D$13:$D$15)=2,VLOOKUP(登!$D$1,立男!$A$4:$I$100,7,0)+100,VLOOKUP(登!$D$1,立男!$A$4:$I$100,7,0)+200))),IF($D$13="","",IF(COUNT($D$13:$D$15)=3,VLOOKUP(登!$D$1,立女!$A$4:$I$100,7,0),IF(COUNT($D$13:$D$15)=2,VLOOKUP(登!$D$1,立女!$A$4:$I$100,7,0)+100,VLOOKUP(登!$D$1,立女!$A$4:$I$100,7,0)+200))))</f>
        <v/>
      </c>
      <c r="B15" s="176" t="s">
        <v>21</v>
      </c>
      <c r="C15" s="187" t="str">
        <f>IF(D15="","",登!$F$1)</f>
        <v/>
      </c>
      <c r="D15" s="66"/>
      <c r="E15" s="187">
        <v>3</v>
      </c>
      <c r="F15" s="188" t="str">
        <f>IF(D15="","",IF(COUNTIF($D14:D$14,"")&gt;0,"上から詰めて入力",IF(INT(VALUE(RIGHT(D15,3))/100)=$B$2,VLOOKUP(D15,登!$B$4:$I$103,7,0),"部員番号入力ミス")))</f>
        <v/>
      </c>
      <c r="G15" s="181" t="str">
        <f>IF(D15="","",IF(INT(VALUE(RIGHT(D15,3))/100)=$B$2,IF(VLOOKUP(D15,登!$B$4:$I$103,2,0)=登!$B$1,1,IF(VLOOKUP(D15,登!$B$4:$I$103,2,0)=登!$B$1-1,2,IF(VLOOKUP(D15,登!$B$4:$I$103,2,0)=登!$B$1-2,3,"学年ミス"))),"番号ミス"))</f>
        <v/>
      </c>
      <c r="H15" s="181" t="str">
        <f t="shared" si="0"/>
        <v/>
      </c>
    </row>
    <row r="16" spans="1:12" ht="12" customHeight="1">
      <c r="A16" s="154" t="str">
        <f>IF($B$2=1,IF($D$16="","",IF(COUNT($D$16:$D$18)=3,VLOOKUP(登!$D$1,立男!$A$4:$I$100,7,0)+1000,IF(COUNT($D$16:$D$18)=2,VLOOKUP(登!$D$1,立男!$A$4:$I$100,7,0)+1100,VLOOKUP(登!$D$1,立男!$A$4:$I$100,7,0)+1200))),IF($D$16="","",IF(COUNT($D$16:$D$18)=3,VLOOKUP(登!$D$1,立女!$A$4:$I$100,7,0)+1000,IF(COUNT($D$16:$D$18)=2,VLOOKUP(登!$D$1,立女!$A$4:$I$100,7,0)+1100,VLOOKUP(登!$D$1,立女!$A$4:$I$100,7,0)+1200))))</f>
        <v/>
      </c>
      <c r="B16" s="155" t="s">
        <v>21</v>
      </c>
      <c r="C16" s="185" t="str">
        <f>IF(D16="","",登!$F$1)</f>
        <v/>
      </c>
      <c r="D16" s="63"/>
      <c r="E16" s="185">
        <v>4</v>
      </c>
      <c r="F16" s="158" t="str">
        <f>IF(D16="","",IF(COUNTIF($D$14:D15,"")&gt;0,"上から詰めて入力",IF(INT(VALUE(RIGHT(D16,3))/100)=$B$2,VLOOKUP(D16,登!$B$4:$I$103,7,0),"部員番号入力ミス")))</f>
        <v/>
      </c>
      <c r="G16" s="159" t="str">
        <f>IF(D16="","",IF(INT(VALUE(RIGHT(D16,3))/100)=$B$2,IF(VLOOKUP(D16,登!$B$4:$I$103,2,0)=登!$B$1,1,IF(VLOOKUP(D16,登!$B$4:$I$103,2,0)=登!$B$1-1,2,IF(VLOOKUP(D16,登!$B$4:$I$103,2,0)=登!$B$1-2,3,"学年ミス"))),"番号ミス"))</f>
        <v/>
      </c>
      <c r="H16" s="159" t="str">
        <f t="shared" si="0"/>
        <v/>
      </c>
    </row>
    <row r="17" spans="1:12" ht="12" customHeight="1">
      <c r="A17" s="160" t="str">
        <f>IF($B$2=1,IF($D$16="","",IF(COUNT($D$16:$D$18)=3,VLOOKUP(登!$D$1,立男!$A$4:$I$100,7,0)+1000,IF(COUNT($D$16:$D$18)=2,VLOOKUP(登!$D$1,立男!$A$4:$I$100,7,0)+1100,VLOOKUP(登!$D$1,立男!$A$4:$I$100,7,0)+1200))),IF($D$16="","",IF(COUNT($D$16:$D$18)=3,VLOOKUP(登!$D$1,立女!$A$4:$I$100,7,0)+1000,IF(COUNT($D$16:$D$18)=2,VLOOKUP(登!$D$1,立女!$A$4:$I$100,7,0)+1100,VLOOKUP(登!$D$1,立女!$A$4:$I$100,7,0)+1200))))</f>
        <v/>
      </c>
      <c r="B17" s="161" t="s">
        <v>21</v>
      </c>
      <c r="C17" s="186" t="str">
        <f>IF(D17="","",登!$F$1)</f>
        <v/>
      </c>
      <c r="D17" s="64"/>
      <c r="E17" s="186">
        <v>5</v>
      </c>
      <c r="F17" s="164" t="str">
        <f>IF(D17="","",IF(COUNTIF($D$14:D16,"")&gt;0,"上から詰めて入力",IF(INT(VALUE(RIGHT(D17,3))/100)=$B$2,VLOOKUP(D17,登!$B$4:$I$103,7,0),"部員番号入力ミス")))</f>
        <v/>
      </c>
      <c r="G17" s="165" t="str">
        <f>IF(D17="","",IF(INT(VALUE(RIGHT(D17,3))/100)=$B$2,IF(VLOOKUP(D17,登!$B$4:$I$103,2,0)=登!$B$1,1,IF(VLOOKUP(D17,登!$B$4:$I$103,2,0)=登!$B$1-1,2,IF(VLOOKUP(D17,登!$B$4:$I$103,2,0)=登!$B$1-2,3,"学年ミス"))),"番号ミス"))</f>
        <v/>
      </c>
      <c r="H17" s="165" t="str">
        <f t="shared" si="0"/>
        <v/>
      </c>
    </row>
    <row r="18" spans="1:12" ht="12" customHeight="1">
      <c r="A18" s="175" t="str">
        <f>IF($B$2=1,IF($D$16="","",IF(COUNT($D$16:$D$18)=3,VLOOKUP(登!$D$1,立男!$A$4:$I$100,7,0)+1000,IF(COUNT($D$16:$D$18)=2,VLOOKUP(登!$D$1,立男!$A$4:$I$100,7,0)+1100,VLOOKUP(登!$D$1,立男!$A$4:$I$100,7,0)+1200))),IF($D$16="","",IF(COUNT($D$16:$D$18)=3,VLOOKUP(登!$D$1,立女!$A$4:$I$100,7,0)+1000,IF(COUNT($D$16:$D$18)=2,VLOOKUP(登!$D$1,立女!$A$4:$I$100,7,0)+1100,VLOOKUP(登!$D$1,立女!$A$4:$I$100,7,0)+1200))))</f>
        <v/>
      </c>
      <c r="B18" s="176" t="s">
        <v>21</v>
      </c>
      <c r="C18" s="187" t="str">
        <f>IF(D18="","",登!$F$1)</f>
        <v/>
      </c>
      <c r="D18" s="66"/>
      <c r="E18" s="187">
        <v>6</v>
      </c>
      <c r="F18" s="188" t="str">
        <f>IF(D18="","",IF(COUNTIF($D$14:D17,"")&gt;0,"上から詰めて入力",IF(INT(VALUE(RIGHT(D18,3))/100)=$B$2,VLOOKUP(D18,登!$B$4:$I$103,7,0),"部員番号入力ミス")))</f>
        <v/>
      </c>
      <c r="G18" s="181" t="str">
        <f>IF(D18="","",IF(INT(VALUE(RIGHT(D18,3))/100)=$B$2,IF(VLOOKUP(D18,登!$B$4:$I$103,2,0)=登!$B$1,1,IF(VLOOKUP(D18,登!$B$4:$I$103,2,0)=登!$B$1-1,2,IF(VLOOKUP(D18,登!$B$4:$I$103,2,0)=登!$B$1-2,3,"学年ミス"))),"番号ミス"))</f>
        <v/>
      </c>
      <c r="H18" s="181" t="str">
        <f t="shared" si="0"/>
        <v/>
      </c>
    </row>
    <row r="19" spans="1:12" ht="12" customHeight="1">
      <c r="A19" s="154" t="str">
        <f>IF($B$2=1,IF($D$19="","",IF(COUNT($D$19:$D$21)=3,VLOOKUP(登!$D$1,立男!$A$4:$I$100,7,0)+2000,IF(COUNT($D$19:$D$21)=2,VLOOKUP(登!$D$1,立男!$A$4:$I$100,7,0)+2100,VLOOKUP(登!$D$1,立男!$A$4:$I$100,7,0)+2200))),IF($D$19="","",IF(COUNT($D$19:$D$21)=3,VLOOKUP(登!$D$1,立女!$A$4:$I$100,7,0)+2000,IF(COUNT($D$19:$D$21)=2,VLOOKUP(登!$D$1,立女!$A$4:$I$100,7,0)+2100,VLOOKUP(登!$D$1,立女!$A$4:$I$100,7,0)+2200))))</f>
        <v/>
      </c>
      <c r="B19" s="155" t="s">
        <v>21</v>
      </c>
      <c r="C19" s="185" t="str">
        <f>IF(D19="","",登!$F$1)</f>
        <v/>
      </c>
      <c r="D19" s="63"/>
      <c r="E19" s="185">
        <v>7</v>
      </c>
      <c r="F19" s="158" t="str">
        <f>IF(D19="","",IF(COUNTIF($D$14:D18,"")&gt;0,"上から詰めて入力",IF(INT(VALUE(RIGHT(D19,3))/100)=$B$2,VLOOKUP(D19,登!$B$4:$I$103,7,0),"部員番号入力ミス")))</f>
        <v/>
      </c>
      <c r="G19" s="159" t="str">
        <f>IF(D19="","",IF(INT(VALUE(RIGHT(D19,3))/100)=$B$2,IF(VLOOKUP(D19,登!$B$4:$I$103,2,0)=登!$B$1,1,IF(VLOOKUP(D19,登!$B$4:$I$103,2,0)=登!$B$1-1,2,IF(VLOOKUP(D19,登!$B$4:$I$103,2,0)=登!$B$1-2,3,"学年ミス"))),"番号ミス"))</f>
        <v/>
      </c>
      <c r="H19" s="159" t="str">
        <f t="shared" si="0"/>
        <v/>
      </c>
    </row>
    <row r="20" spans="1:12" ht="12" customHeight="1">
      <c r="A20" s="160" t="str">
        <f>IF($B$2=1,IF($D$19="","",IF(COUNT($D$19:$D$21)=3,VLOOKUP(登!$D$1,立男!$A$4:$I$100,7,0)+2000,IF(COUNT($D$19:$D$21)=2,VLOOKUP(登!$D$1,立男!$A$4:$I$100,7,0)+2100,VLOOKUP(登!$D$1,立男!$A$4:$I$100,7,0)+2200))),IF($D$19="","",IF(COUNT($D$19:$D$21)=3,VLOOKUP(登!$D$1,立女!$A$4:$I$100,7,0)+2000,IF(COUNT($D$19:$D$21)=2,VLOOKUP(登!$D$1,立女!$A$4:$I$100,7,0)+2100,VLOOKUP(登!$D$1,立女!$A$4:$I$100,7,0)+2200))))</f>
        <v/>
      </c>
      <c r="B20" s="161" t="s">
        <v>21</v>
      </c>
      <c r="C20" s="186" t="str">
        <f>IF(D20="","",登!$F$1)</f>
        <v/>
      </c>
      <c r="D20" s="64"/>
      <c r="E20" s="186">
        <v>8</v>
      </c>
      <c r="F20" s="164" t="str">
        <f>IF(D20="","",IF(COUNTIF($D$14:D19,"")&gt;0,"上から詰めて入力",IF(INT(VALUE(RIGHT(D20,3))/100)=$B$2,VLOOKUP(D20,登!$B$4:$I$103,7,0),"部員番号入力ミス")))</f>
        <v/>
      </c>
      <c r="G20" s="165" t="str">
        <f>IF(D20="","",IF(INT(VALUE(RIGHT(D20,3))/100)=$B$2,IF(VLOOKUP(D20,登!$B$4:$I$103,2,0)=登!$B$1,1,IF(VLOOKUP(D20,登!$B$4:$I$103,2,0)=登!$B$1-1,2,IF(VLOOKUP(D20,登!$B$4:$I$103,2,0)=登!$B$1-2,3,"学年ミス"))),"番号ミス"))</f>
        <v/>
      </c>
      <c r="H20" s="165" t="str">
        <f t="shared" si="0"/>
        <v/>
      </c>
    </row>
    <row r="21" spans="1:12" ht="12" customHeight="1">
      <c r="A21" s="175" t="str">
        <f>IF($B$2=1,IF($D$19="","",IF(COUNT($D$19:$D$21)=3,VLOOKUP(登!$D$1,立男!$A$4:$I$100,7,0)+2000,IF(COUNT($D$19:$D$21)=2,VLOOKUP(登!$D$1,立男!$A$4:$I$100,7,0)+2100,VLOOKUP(登!$D$1,立男!$A$4:$I$100,7,0)+2200))),IF($D$19="","",IF(COUNT($D$19:$D$21)=3,VLOOKUP(登!$D$1,立女!$A$4:$I$100,7,0)+2000,IF(COUNT($D$19:$D$21)=2,VLOOKUP(登!$D$1,立女!$A$4:$I$100,7,0)+2100,VLOOKUP(登!$D$1,立女!$A$4:$I$100,7,0)+2200))))</f>
        <v/>
      </c>
      <c r="B21" s="176" t="s">
        <v>21</v>
      </c>
      <c r="C21" s="187" t="str">
        <f>IF(D21="","",登!$F$1)</f>
        <v/>
      </c>
      <c r="D21" s="66"/>
      <c r="E21" s="187">
        <v>9</v>
      </c>
      <c r="F21" s="188" t="str">
        <f>IF(D21="","",IF(COUNTIF($D$14:D20,"")&gt;0,"上から詰めて入力",IF(INT(VALUE(RIGHT(D21,3))/100)=$B$2,VLOOKUP(D21,登!$B$4:$I$103,7,0),"部員番号入力ミス")))</f>
        <v/>
      </c>
      <c r="G21" s="181" t="str">
        <f>IF(D21="","",IF(INT(VALUE(RIGHT(D21,3))/100)=$B$2,IF(VLOOKUP(D21,登!$B$4:$I$103,2,0)=登!$B$1,1,IF(VLOOKUP(D21,登!$B$4:$I$103,2,0)=登!$B$1-1,2,IF(VLOOKUP(D21,登!$B$4:$I$103,2,0)=登!$B$1-2,3,"学年ミス"))),"番号ミス"))</f>
        <v/>
      </c>
      <c r="H21" s="181" t="str">
        <f t="shared" si="0"/>
        <v/>
      </c>
      <c r="L21" s="147"/>
    </row>
    <row r="22" spans="1:12" ht="12" customHeight="1">
      <c r="A22" s="154" t="str">
        <f>IF($B$2=1,IF($D$22="","",IF(COUNT($D$22:$D$24)=3,VLOOKUP(登!$D$1,立男!$A$4:$I$100,7,0)+3000,IF(COUNT($D$22:$D$24)=2,VLOOKUP(登!$D$1,立男!$A$4:$I$100,7,0)+3100,VLOOKUP(登!$D$1,立男!$A$4:$I$100,7,0)+3200))),IF($D$22="","",IF(COUNT($D$22:$D$24)=3,VLOOKUP(登!$D$1,立女!$A$4:$I$100,7,0)+3000,IF(COUNT($D$22:$D$24)=2,VLOOKUP(登!$D$1,立女!$A$4:$I$100,7,0)+3100,VLOOKUP(登!$D$1,立女!$A$4:$I$100,7,0)+3200))))</f>
        <v/>
      </c>
      <c r="B22" s="155" t="s">
        <v>21</v>
      </c>
      <c r="C22" s="185" t="str">
        <f>IF(D22="","",登!$F$1)</f>
        <v/>
      </c>
      <c r="D22" s="63"/>
      <c r="E22" s="185">
        <v>10</v>
      </c>
      <c r="F22" s="158" t="str">
        <f>IF(D22="","",IF(COUNTIF($D$14:D21,"")&gt;0,"上から詰めて入力",IF(INT(VALUE(RIGHT(D22,3))/100)=$B$2,VLOOKUP(D22,登!$B$4:$I$103,7,0),"部員番号入力ミス")))</f>
        <v/>
      </c>
      <c r="G22" s="159" t="str">
        <f>IF(D22="","",IF(INT(VALUE(RIGHT(D22,3))/100)=$B$2,IF(VLOOKUP(D22,登!$B$4:$I$103,2,0)=登!$B$1,1,IF(VLOOKUP(D22,登!$B$4:$I$103,2,0)=登!$B$1-1,2,IF(VLOOKUP(D22,登!$B$4:$I$103,2,0)=登!$B$1-2,3,"学年ミス"))),"番号ミス"))</f>
        <v/>
      </c>
      <c r="H22" s="159" t="str">
        <f t="shared" si="0"/>
        <v/>
      </c>
    </row>
    <row r="23" spans="1:12" ht="12" customHeight="1">
      <c r="A23" s="160" t="str">
        <f>IF($B$2=1,IF($D$22="","",IF(COUNT($D$22:$D$24)=3,VLOOKUP(登!$D$1,立男!$A$4:$I$100,7,0)+3000,IF(COUNT($D$22:$D$24)=2,VLOOKUP(登!$D$1,立男!$A$4:$I$100,7,0)+3100,VLOOKUP(登!$D$1,立男!$A$4:$I$100,7,0)+3200))),IF($D$22="","",IF(COUNT($D$22:$D$24)=3,VLOOKUP(登!$D$1,立女!$A$4:$I$100,7,0)+3000,IF(COUNT($D$22:$D$24)=2,VLOOKUP(登!$D$1,立女!$A$4:$I$100,7,0)+3100,VLOOKUP(登!$D$1,立女!$A$4:$I$100,7,0)+3200))))</f>
        <v/>
      </c>
      <c r="B23" s="161" t="s">
        <v>21</v>
      </c>
      <c r="C23" s="186" t="str">
        <f>IF(D23="","",登!$F$1)</f>
        <v/>
      </c>
      <c r="D23" s="64"/>
      <c r="E23" s="186">
        <v>11</v>
      </c>
      <c r="F23" s="164" t="str">
        <f>IF(D23="","",IF(COUNTIF($D$14:D22,"")&gt;0,"上から詰めて入力",IF(INT(VALUE(RIGHT(D23,3))/100)=$B$2,VLOOKUP(D23,登!$B$4:$I$103,7,0),"部員番号入力ミス")))</f>
        <v/>
      </c>
      <c r="G23" s="165" t="str">
        <f>IF(D23="","",IF(INT(VALUE(RIGHT(D23,3))/100)=$B$2,IF(VLOOKUP(D23,登!$B$4:$I$103,2,0)=登!$B$1,1,IF(VLOOKUP(D23,登!$B$4:$I$103,2,0)=登!$B$1-1,2,IF(VLOOKUP(D23,登!$B$4:$I$103,2,0)=登!$B$1-2,3,"学年ミス"))),"番号ミス"))</f>
        <v/>
      </c>
      <c r="H23" s="165" t="str">
        <f t="shared" si="0"/>
        <v/>
      </c>
    </row>
    <row r="24" spans="1:12" ht="12" customHeight="1">
      <c r="A24" s="175" t="str">
        <f>IF($B$2=1,IF($D$22="","",IF(COUNT($D$22:$D$24)=3,VLOOKUP(登!$D$1,立男!$A$4:$I$100,7,0)+3000,IF(COUNT($D$22:$D$24)=2,VLOOKUP(登!$D$1,立男!$A$4:$I$100,7,0)+3100,VLOOKUP(登!$D$1,立男!$A$4:$I$100,7,0)+3200))),IF($D$22="","",IF(COUNT($D$22:$D$24)=3,VLOOKUP(登!$D$1,立女!$A$4:$I$100,7,0)+3000,IF(COUNT($D$22:$D$24)=2,VLOOKUP(登!$D$1,立女!$A$4:$I$100,7,0)+3100,VLOOKUP(登!$D$1,立女!$A$4:$I$100,7,0)+3200))))</f>
        <v/>
      </c>
      <c r="B24" s="176" t="s">
        <v>21</v>
      </c>
      <c r="C24" s="187" t="str">
        <f>IF(D24="","",登!$F$1)</f>
        <v/>
      </c>
      <c r="D24" s="66"/>
      <c r="E24" s="187">
        <v>12</v>
      </c>
      <c r="F24" s="188" t="str">
        <f>IF(D24="","",IF(COUNTIF($D$14:D23,"")&gt;0,"上から詰めて入力",IF(INT(VALUE(RIGHT(D24,3))/100)=$B$2,VLOOKUP(D24,登!$B$4:$I$103,7,0),"部員番号入力ミス")))</f>
        <v/>
      </c>
      <c r="G24" s="181" t="str">
        <f>IF(D24="","",IF(INT(VALUE(RIGHT(D24,3))/100)=$B$2,IF(VLOOKUP(D24,登!$B$4:$I$103,2,0)=登!$B$1,1,IF(VLOOKUP(D24,登!$B$4:$I$103,2,0)=登!$B$1-1,2,IF(VLOOKUP(D24,登!$B$4:$I$103,2,0)=登!$B$1-2,3,"学年ミス"))),"番号ミス"))</f>
        <v/>
      </c>
      <c r="H24" s="181" t="str">
        <f t="shared" si="0"/>
        <v/>
      </c>
    </row>
    <row r="25" spans="1:12" ht="12" customHeight="1">
      <c r="A25" s="154" t="str">
        <f>IF($B$2=1,IF($D$25="","",IF(COUNT($D$25:$D$27)=3,VLOOKUP(登!$D$1,立男!$A$4:$I$100,7,0)+4000,IF(COUNT($D$25:$D$27)=2,VLOOKUP(登!$D$1,立男!$A$4:$I$100,7,0)+4100,VLOOKUP(登!$D$1,立男!$A$4:$I$100,7,0)+4200))),IF($D$25="","",IF(COUNT($D$25:$D$27)=3,VLOOKUP(登!$D$1,立女!$A$4:$I$100,7,0)+4000,IF(COUNT($D$25:$D$27)=2,VLOOKUP(登!$D$1,立女!$A$4:$I$100,7,0)+4100,VLOOKUP(登!$D$1,立女!$A$4:$I$100,7,0)+4200))))</f>
        <v/>
      </c>
      <c r="B25" s="155" t="s">
        <v>21</v>
      </c>
      <c r="C25" s="185" t="str">
        <f>IF(D25="","",登!$F$1)</f>
        <v/>
      </c>
      <c r="D25" s="63"/>
      <c r="E25" s="185">
        <v>13</v>
      </c>
      <c r="F25" s="158" t="str">
        <f>IF(D25="","",IF(COUNTIF($D$14:D24,"")&gt;0,"上から詰めて入力",IF(INT(VALUE(RIGHT(D25,3))/100)=$B$2,VLOOKUP(D25,登!$B$4:$I$103,7,0),"部員番号入力ミス")))</f>
        <v/>
      </c>
      <c r="G25" s="159" t="str">
        <f>IF(D25="","",IF(INT(VALUE(RIGHT(D25,3))/100)=$B$2,IF(VLOOKUP(D25,登!$B$4:$I$103,2,0)=登!$B$1,1,IF(VLOOKUP(D25,登!$B$4:$I$103,2,0)=登!$B$1-1,2,IF(VLOOKUP(D25,登!$B$4:$I$103,2,0)=登!$B$1-2,3,"学年ミス"))),"番号ミス"))</f>
        <v/>
      </c>
      <c r="H25" s="159" t="str">
        <f t="shared" si="0"/>
        <v/>
      </c>
    </row>
    <row r="26" spans="1:12" ht="12" customHeight="1">
      <c r="A26" s="160" t="str">
        <f>IF($B$2=1,IF($D$25="","",IF(COUNT($D$25:$D$27)=3,VLOOKUP(登!$D$1,立男!$A$4:$I$100,7,0)+4000,IF(COUNT($D$25:$D$27)=2,VLOOKUP(登!$D$1,立男!$A$4:$I$100,7,0)+4100,VLOOKUP(登!$D$1,立男!$A$4:$I$100,7,0)+4200))),IF($D$25="","",IF(COUNT($D$25:$D$27)=3,VLOOKUP(登!$D$1,立女!$A$4:$I$100,7,0)+4000,IF(COUNT($D$25:$D$27)=2,VLOOKUP(登!$D$1,立女!$A$4:$I$100,7,0)+4100,VLOOKUP(登!$D$1,立女!$A$4:$I$100,7,0)+4200))))</f>
        <v/>
      </c>
      <c r="B26" s="161" t="s">
        <v>21</v>
      </c>
      <c r="C26" s="186" t="str">
        <f>IF(D26="","",登!$F$1)</f>
        <v/>
      </c>
      <c r="D26" s="64"/>
      <c r="E26" s="186">
        <v>14</v>
      </c>
      <c r="F26" s="164" t="str">
        <f>IF(D26="","",IF(COUNTIF($D$14:D25,"")&gt;0,"上から詰めて入力",IF(INT(VALUE(RIGHT(D26,3))/100)=$B$2,VLOOKUP(D26,登!$B$4:$I$103,7,0),"部員番号入力ミス")))</f>
        <v/>
      </c>
      <c r="G26" s="165" t="str">
        <f>IF(D26="","",IF(INT(VALUE(RIGHT(D26,3))/100)=$B$2,IF(VLOOKUP(D26,登!$B$4:$I$103,2,0)=登!$B$1,1,IF(VLOOKUP(D26,登!$B$4:$I$103,2,0)=登!$B$1-1,2,IF(VLOOKUP(D26,登!$B$4:$I$103,2,0)=登!$B$1-2,3,"学年ミス"))),"番号ミス"))</f>
        <v/>
      </c>
      <c r="H26" s="165" t="str">
        <f t="shared" si="0"/>
        <v/>
      </c>
    </row>
    <row r="27" spans="1:12" ht="12" customHeight="1">
      <c r="A27" s="175" t="str">
        <f>IF($B$2=1,IF($D$25="","",IF(COUNT($D$25:$D$27)=3,VLOOKUP(登!$D$1,立男!$A$4:$I$100,7,0)+4000,IF(COUNT($D$25:$D$27)=2,VLOOKUP(登!$D$1,立男!$A$4:$I$100,7,0)+4100,VLOOKUP(登!$D$1,立男!$A$4:$I$100,7,0)+4200))),IF($D$25="","",IF(COUNT($D$25:$D$27)=3,VLOOKUP(登!$D$1,立女!$A$4:$I$100,7,0)+4000,IF(COUNT($D$25:$D$27)=2,VLOOKUP(登!$D$1,立女!$A$4:$I$100,7,0)+4100,VLOOKUP(登!$D$1,立女!$A$4:$I$100,7,0)+4200))))</f>
        <v/>
      </c>
      <c r="B27" s="176" t="s">
        <v>21</v>
      </c>
      <c r="C27" s="187" t="str">
        <f>IF(D27="","",登!$F$1)</f>
        <v/>
      </c>
      <c r="D27" s="66"/>
      <c r="E27" s="187">
        <v>15</v>
      </c>
      <c r="F27" s="188" t="str">
        <f>IF(D27="","",IF(COUNTIF($D$14:D26,"")&gt;0,"上から詰めて入力",IF(INT(VALUE(RIGHT(D27,3))/100)=$B$2,VLOOKUP(D27,登!$B$4:$I$103,7,0),"部員番号入力ミス")))</f>
        <v/>
      </c>
      <c r="G27" s="181" t="str">
        <f>IF(D27="","",IF(INT(VALUE(RIGHT(D27,3))/100)=$B$2,IF(VLOOKUP(D27,登!$B$4:$I$103,2,0)=登!$B$1,1,IF(VLOOKUP(D27,登!$B$4:$I$103,2,0)=登!$B$1-1,2,IF(VLOOKUP(D27,登!$B$4:$I$103,2,0)=登!$B$1-2,3,"学年ミス"))),"番号ミス"))</f>
        <v/>
      </c>
      <c r="H27" s="181" t="str">
        <f t="shared" si="0"/>
        <v/>
      </c>
    </row>
    <row r="61" spans="1:7" s="75" customFormat="1" ht="12.75" customHeight="1">
      <c r="A61" s="410" t="s">
        <v>406</v>
      </c>
      <c r="B61" s="410"/>
      <c r="C61" s="410"/>
      <c r="D61" s="410"/>
      <c r="E61" s="407">
        <f>D7</f>
        <v>43664</v>
      </c>
      <c r="F61" s="408"/>
    </row>
    <row r="62" spans="1:7" s="75" customFormat="1" ht="12.75" customHeight="1">
      <c r="A62" s="255"/>
      <c r="B62" s="255"/>
      <c r="C62" s="255"/>
      <c r="D62" s="255"/>
      <c r="E62" s="189"/>
      <c r="F62" s="189"/>
    </row>
    <row r="63" spans="1:7" s="75" customFormat="1" ht="12.75" customHeight="1">
      <c r="A63" s="255"/>
      <c r="B63" s="255"/>
      <c r="C63" s="255"/>
      <c r="D63" s="255"/>
    </row>
    <row r="64" spans="1:7" s="75" customFormat="1" ht="12.75" customHeight="1">
      <c r="A64" s="189" t="s">
        <v>507</v>
      </c>
      <c r="B64" s="409" t="str">
        <f>IF(登!$D$1="",""," "&amp;VLOOKUP(登!$D$1,名!$G$2:$J$54,3,0))</f>
        <v/>
      </c>
      <c r="C64" s="409"/>
      <c r="D64" s="409"/>
      <c r="E64" s="189" t="s">
        <v>199</v>
      </c>
      <c r="F64" s="241" t="s">
        <v>529</v>
      </c>
      <c r="G64" s="254" t="s">
        <v>511</v>
      </c>
    </row>
    <row r="65" spans="1:11" s="75" customFormat="1" ht="12.75" customHeight="1">
      <c r="H65" s="74"/>
    </row>
    <row r="66" spans="1:11" s="75" customFormat="1" ht="12.75" customHeight="1">
      <c r="H66" s="74"/>
    </row>
    <row r="67" spans="1:11" s="75" customFormat="1" ht="12.75" customHeight="1">
      <c r="A67" s="189" t="s">
        <v>510</v>
      </c>
      <c r="B67" s="409" t="str">
        <f>IF(登!$D$1="",""," "&amp;VLOOKUP(登!$D$1,名!$G$2:$J$54,4,0))</f>
        <v/>
      </c>
      <c r="C67" s="409"/>
      <c r="D67" s="409"/>
      <c r="E67" s="189" t="s">
        <v>509</v>
      </c>
      <c r="F67" s="241" t="s">
        <v>529</v>
      </c>
      <c r="G67" s="254" t="s">
        <v>511</v>
      </c>
      <c r="H67" s="74"/>
      <c r="K67" s="190"/>
    </row>
    <row r="70" spans="1:11" s="191" customFormat="1" ht="22.5" customHeight="1">
      <c r="B70" s="256">
        <f>B2</f>
        <v>2</v>
      </c>
      <c r="C70" s="398" t="str">
        <f>C2</f>
        <v>令和元年度関東高校弓道個人選手権選抜大会県予選会</v>
      </c>
      <c r="D70" s="399"/>
      <c r="E70" s="399"/>
      <c r="F70" s="399"/>
      <c r="G70" s="400"/>
      <c r="H70" s="192"/>
    </row>
    <row r="71" spans="1:11" s="191" customFormat="1" ht="12" customHeight="1">
      <c r="B71" s="193"/>
      <c r="C71" s="193"/>
      <c r="D71" s="194"/>
      <c r="E71" s="194"/>
      <c r="F71" s="194"/>
      <c r="G71" s="195"/>
      <c r="H71" s="192"/>
    </row>
    <row r="72" spans="1:11" s="191" customFormat="1" ht="12" customHeight="1">
      <c r="B72" s="401" t="str">
        <f>B4</f>
        <v>監督名</v>
      </c>
      <c r="C72" s="401"/>
      <c r="D72" s="402" t="str">
        <f>D4</f>
        <v>○　○　○　○</v>
      </c>
      <c r="E72" s="403"/>
      <c r="F72" s="404"/>
      <c r="G72" s="405" t="str">
        <f>G4</f>
        <v>弁当注文個数</v>
      </c>
      <c r="H72" s="406"/>
      <c r="I72" s="196">
        <f>I4</f>
        <v>0</v>
      </c>
      <c r="J72" s="192"/>
    </row>
    <row r="73" spans="1:11" s="191" customFormat="1" ht="12" customHeight="1">
      <c r="B73" s="193"/>
      <c r="C73" s="193"/>
      <c r="D73" s="194"/>
      <c r="E73" s="194"/>
      <c r="F73" s="194"/>
      <c r="G73" s="194"/>
      <c r="H73" s="192"/>
    </row>
    <row r="74" spans="1:11" s="191" customFormat="1" ht="12" customHeight="1">
      <c r="B74" s="388" t="str">
        <f>B6</f>
        <v>大会番号</v>
      </c>
      <c r="C74" s="388"/>
      <c r="D74" s="397">
        <f>D6</f>
        <v>10</v>
      </c>
      <c r="E74" s="397"/>
      <c r="F74" s="397"/>
      <c r="G74" s="397"/>
      <c r="H74" s="192"/>
      <c r="I74" s="197"/>
    </row>
    <row r="75" spans="1:11" s="191" customFormat="1" ht="12" customHeight="1">
      <c r="B75" s="388" t="str">
        <f t="shared" ref="B75:B77" si="1">B7</f>
        <v>参加申込締切</v>
      </c>
      <c r="C75" s="388"/>
      <c r="D75" s="389">
        <f>D7</f>
        <v>43664</v>
      </c>
      <c r="E75" s="390"/>
      <c r="F75" s="391" t="str">
        <f>F7</f>
        <v>木曜日　１６時</v>
      </c>
      <c r="G75" s="392"/>
      <c r="H75" s="192"/>
      <c r="I75" s="197"/>
    </row>
    <row r="76" spans="1:11" s="191" customFormat="1" ht="12" customHeight="1">
      <c r="B76" s="388" t="str">
        <f t="shared" si="1"/>
        <v>大会開催日</v>
      </c>
      <c r="C76" s="388"/>
      <c r="D76" s="389">
        <f>D8</f>
        <v>43671</v>
      </c>
      <c r="E76" s="390"/>
      <c r="F76" s="391" t="str">
        <f>F8</f>
        <v>木曜日</v>
      </c>
      <c r="G76" s="392"/>
      <c r="H76" s="192"/>
      <c r="I76" s="197"/>
    </row>
    <row r="77" spans="1:11" s="191" customFormat="1" ht="12" customHeight="1">
      <c r="B77" s="388" t="str">
        <f t="shared" si="1"/>
        <v>申込先</v>
      </c>
      <c r="C77" s="388"/>
      <c r="D77" s="393" t="str">
        <f>D9</f>
        <v>高体連弓道専門部大会申込ｱﾄﾞﾚｽ</v>
      </c>
      <c r="E77" s="394"/>
      <c r="F77" s="448" t="str">
        <f>F9</f>
        <v>gunkyumi@yahoo.co.jp</v>
      </c>
      <c r="G77" s="449"/>
      <c r="H77" s="192"/>
      <c r="I77" s="197"/>
    </row>
    <row r="78" spans="1:11" s="191" customFormat="1" ht="12" customHeight="1">
      <c r="B78" s="197"/>
      <c r="C78" s="197"/>
      <c r="D78" s="195"/>
      <c r="E78" s="195"/>
      <c r="F78" s="195"/>
      <c r="G78" s="195"/>
      <c r="H78" s="192"/>
      <c r="I78" s="197"/>
    </row>
    <row r="79" spans="1:11" s="191" customFormat="1" ht="22.5" customHeight="1">
      <c r="B79" s="384" t="str">
        <f>B11</f>
        <v>女　子　個　人　参　加　申　込　書</v>
      </c>
      <c r="C79" s="384"/>
      <c r="D79" s="384"/>
      <c r="E79" s="384"/>
      <c r="F79" s="384"/>
      <c r="G79" s="384"/>
      <c r="H79" s="192"/>
    </row>
    <row r="80" spans="1:11" s="191" customFormat="1" ht="12" customHeight="1">
      <c r="A80" s="256" t="str">
        <f>A12</f>
        <v>立順</v>
      </c>
      <c r="B80" s="198" t="str">
        <f t="shared" ref="B80:H80" si="2">B12</f>
        <v>チーム</v>
      </c>
      <c r="C80" s="199" t="str">
        <f t="shared" si="2"/>
        <v>校　名</v>
      </c>
      <c r="D80" s="200" t="str">
        <f t="shared" si="2"/>
        <v>登録番号</v>
      </c>
      <c r="E80" s="201" t="str">
        <f t="shared" si="2"/>
        <v>立　順</v>
      </c>
      <c r="F80" s="202" t="str">
        <f t="shared" si="2"/>
        <v>選　　手　　名</v>
      </c>
      <c r="G80" s="203" t="str">
        <f t="shared" si="2"/>
        <v>学　年</v>
      </c>
      <c r="H80" s="256" t="str">
        <f t="shared" si="2"/>
        <v>重複ﾁｪｯｸ</v>
      </c>
    </row>
    <row r="81" spans="1:12" s="191" customFormat="1" ht="12" customHeight="1">
      <c r="A81" s="204" t="str">
        <f>IF(A13="","",A13)</f>
        <v/>
      </c>
      <c r="B81" s="205" t="str">
        <f t="shared" ref="B81:H81" si="3">IF(B13="","",B13)</f>
        <v>個</v>
      </c>
      <c r="C81" s="234" t="str">
        <f t="shared" si="3"/>
        <v/>
      </c>
      <c r="D81" s="139" t="str">
        <f t="shared" si="3"/>
        <v/>
      </c>
      <c r="E81" s="234">
        <f t="shared" si="3"/>
        <v>1</v>
      </c>
      <c r="F81" s="208" t="str">
        <f t="shared" si="3"/>
        <v/>
      </c>
      <c r="G81" s="209" t="str">
        <f t="shared" si="3"/>
        <v/>
      </c>
      <c r="H81" s="209" t="str">
        <f t="shared" si="3"/>
        <v/>
      </c>
    </row>
    <row r="82" spans="1:12" s="191" customFormat="1" ht="12" customHeight="1">
      <c r="A82" s="210" t="str">
        <f t="shared" ref="A82:H95" si="4">IF(A14="","",A14)</f>
        <v/>
      </c>
      <c r="B82" s="211" t="str">
        <f t="shared" si="4"/>
        <v>個</v>
      </c>
      <c r="C82" s="235" t="str">
        <f t="shared" si="4"/>
        <v/>
      </c>
      <c r="D82" s="140" t="str">
        <f t="shared" si="4"/>
        <v/>
      </c>
      <c r="E82" s="235">
        <f t="shared" si="4"/>
        <v>2</v>
      </c>
      <c r="F82" s="214" t="str">
        <f t="shared" si="4"/>
        <v/>
      </c>
      <c r="G82" s="215" t="str">
        <f t="shared" si="4"/>
        <v/>
      </c>
      <c r="H82" s="215" t="str">
        <f t="shared" si="4"/>
        <v/>
      </c>
    </row>
    <row r="83" spans="1:12" s="191" customFormat="1" ht="12" customHeight="1">
      <c r="A83" s="225" t="str">
        <f t="shared" si="4"/>
        <v/>
      </c>
      <c r="B83" s="226" t="str">
        <f t="shared" si="4"/>
        <v>個</v>
      </c>
      <c r="C83" s="236" t="str">
        <f t="shared" si="4"/>
        <v/>
      </c>
      <c r="D83" s="141" t="str">
        <f t="shared" si="4"/>
        <v/>
      </c>
      <c r="E83" s="236">
        <f t="shared" si="4"/>
        <v>3</v>
      </c>
      <c r="F83" s="237" t="str">
        <f t="shared" si="4"/>
        <v/>
      </c>
      <c r="G83" s="230" t="str">
        <f t="shared" si="4"/>
        <v/>
      </c>
      <c r="H83" s="230" t="str">
        <f t="shared" si="4"/>
        <v/>
      </c>
    </row>
    <row r="84" spans="1:12" s="191" customFormat="1" ht="12" customHeight="1">
      <c r="A84" s="204" t="str">
        <f t="shared" si="4"/>
        <v/>
      </c>
      <c r="B84" s="205" t="str">
        <f t="shared" si="4"/>
        <v>個</v>
      </c>
      <c r="C84" s="234" t="str">
        <f t="shared" si="4"/>
        <v/>
      </c>
      <c r="D84" s="139" t="str">
        <f t="shared" si="4"/>
        <v/>
      </c>
      <c r="E84" s="234">
        <f t="shared" si="4"/>
        <v>4</v>
      </c>
      <c r="F84" s="208" t="str">
        <f t="shared" si="4"/>
        <v/>
      </c>
      <c r="G84" s="209" t="str">
        <f t="shared" si="4"/>
        <v/>
      </c>
      <c r="H84" s="209" t="str">
        <f t="shared" si="4"/>
        <v/>
      </c>
    </row>
    <row r="85" spans="1:12" s="191" customFormat="1" ht="12" customHeight="1">
      <c r="A85" s="210" t="str">
        <f t="shared" si="4"/>
        <v/>
      </c>
      <c r="B85" s="211" t="str">
        <f t="shared" si="4"/>
        <v>個</v>
      </c>
      <c r="C85" s="235" t="str">
        <f t="shared" si="4"/>
        <v/>
      </c>
      <c r="D85" s="140" t="str">
        <f t="shared" si="4"/>
        <v/>
      </c>
      <c r="E85" s="235">
        <f t="shared" si="4"/>
        <v>5</v>
      </c>
      <c r="F85" s="214" t="str">
        <f t="shared" si="4"/>
        <v/>
      </c>
      <c r="G85" s="215" t="str">
        <f t="shared" si="4"/>
        <v/>
      </c>
      <c r="H85" s="215" t="str">
        <f t="shared" si="4"/>
        <v/>
      </c>
    </row>
    <row r="86" spans="1:12" s="191" customFormat="1" ht="12" customHeight="1">
      <c r="A86" s="225" t="str">
        <f t="shared" si="4"/>
        <v/>
      </c>
      <c r="B86" s="226" t="str">
        <f t="shared" si="4"/>
        <v>個</v>
      </c>
      <c r="C86" s="236" t="str">
        <f t="shared" si="4"/>
        <v/>
      </c>
      <c r="D86" s="141" t="str">
        <f t="shared" si="4"/>
        <v/>
      </c>
      <c r="E86" s="236">
        <f t="shared" si="4"/>
        <v>6</v>
      </c>
      <c r="F86" s="237" t="str">
        <f t="shared" si="4"/>
        <v/>
      </c>
      <c r="G86" s="230" t="str">
        <f t="shared" si="4"/>
        <v/>
      </c>
      <c r="H86" s="230" t="str">
        <f t="shared" si="4"/>
        <v/>
      </c>
    </row>
    <row r="87" spans="1:12" s="191" customFormat="1" ht="12" customHeight="1">
      <c r="A87" s="204" t="str">
        <f t="shared" si="4"/>
        <v/>
      </c>
      <c r="B87" s="205" t="str">
        <f t="shared" si="4"/>
        <v>個</v>
      </c>
      <c r="C87" s="234" t="str">
        <f t="shared" si="4"/>
        <v/>
      </c>
      <c r="D87" s="139" t="str">
        <f t="shared" si="4"/>
        <v/>
      </c>
      <c r="E87" s="234">
        <f t="shared" si="4"/>
        <v>7</v>
      </c>
      <c r="F87" s="208" t="str">
        <f t="shared" si="4"/>
        <v/>
      </c>
      <c r="G87" s="209" t="str">
        <f t="shared" si="4"/>
        <v/>
      </c>
      <c r="H87" s="209" t="str">
        <f t="shared" si="4"/>
        <v/>
      </c>
    </row>
    <row r="88" spans="1:12" s="191" customFormat="1" ht="12" customHeight="1">
      <c r="A88" s="210" t="str">
        <f t="shared" si="4"/>
        <v/>
      </c>
      <c r="B88" s="211" t="str">
        <f t="shared" si="4"/>
        <v>個</v>
      </c>
      <c r="C88" s="235" t="str">
        <f t="shared" si="4"/>
        <v/>
      </c>
      <c r="D88" s="140" t="str">
        <f t="shared" si="4"/>
        <v/>
      </c>
      <c r="E88" s="235">
        <f t="shared" si="4"/>
        <v>8</v>
      </c>
      <c r="F88" s="214" t="str">
        <f t="shared" si="4"/>
        <v/>
      </c>
      <c r="G88" s="215" t="str">
        <f t="shared" si="4"/>
        <v/>
      </c>
      <c r="H88" s="215" t="str">
        <f t="shared" si="4"/>
        <v/>
      </c>
    </row>
    <row r="89" spans="1:12" s="191" customFormat="1" ht="12" customHeight="1">
      <c r="A89" s="225" t="str">
        <f t="shared" si="4"/>
        <v/>
      </c>
      <c r="B89" s="226" t="str">
        <f t="shared" si="4"/>
        <v>個</v>
      </c>
      <c r="C89" s="236" t="str">
        <f t="shared" si="4"/>
        <v/>
      </c>
      <c r="D89" s="141" t="str">
        <f t="shared" si="4"/>
        <v/>
      </c>
      <c r="E89" s="236">
        <f t="shared" si="4"/>
        <v>9</v>
      </c>
      <c r="F89" s="237" t="str">
        <f t="shared" si="4"/>
        <v/>
      </c>
      <c r="G89" s="230" t="str">
        <f t="shared" si="4"/>
        <v/>
      </c>
      <c r="H89" s="230" t="str">
        <f t="shared" si="4"/>
        <v/>
      </c>
      <c r="L89" s="197"/>
    </row>
    <row r="90" spans="1:12" s="191" customFormat="1" ht="12" customHeight="1">
      <c r="A90" s="204" t="str">
        <f t="shared" si="4"/>
        <v/>
      </c>
      <c r="B90" s="205" t="str">
        <f t="shared" si="4"/>
        <v>個</v>
      </c>
      <c r="C90" s="234" t="str">
        <f t="shared" si="4"/>
        <v/>
      </c>
      <c r="D90" s="139" t="str">
        <f t="shared" si="4"/>
        <v/>
      </c>
      <c r="E90" s="234">
        <f t="shared" si="4"/>
        <v>10</v>
      </c>
      <c r="F90" s="208" t="str">
        <f t="shared" si="4"/>
        <v/>
      </c>
      <c r="G90" s="209" t="str">
        <f t="shared" si="4"/>
        <v/>
      </c>
      <c r="H90" s="209" t="str">
        <f t="shared" si="4"/>
        <v/>
      </c>
    </row>
    <row r="91" spans="1:12" s="191" customFormat="1" ht="12" customHeight="1">
      <c r="A91" s="210" t="str">
        <f t="shared" si="4"/>
        <v/>
      </c>
      <c r="B91" s="211" t="str">
        <f t="shared" si="4"/>
        <v>個</v>
      </c>
      <c r="C91" s="235" t="str">
        <f t="shared" si="4"/>
        <v/>
      </c>
      <c r="D91" s="140" t="str">
        <f t="shared" si="4"/>
        <v/>
      </c>
      <c r="E91" s="235">
        <f t="shared" si="4"/>
        <v>11</v>
      </c>
      <c r="F91" s="214" t="str">
        <f t="shared" si="4"/>
        <v/>
      </c>
      <c r="G91" s="215" t="str">
        <f t="shared" si="4"/>
        <v/>
      </c>
      <c r="H91" s="215" t="str">
        <f t="shared" si="4"/>
        <v/>
      </c>
    </row>
    <row r="92" spans="1:12" s="191" customFormat="1" ht="12" customHeight="1">
      <c r="A92" s="225" t="str">
        <f t="shared" si="4"/>
        <v/>
      </c>
      <c r="B92" s="226" t="str">
        <f t="shared" si="4"/>
        <v>個</v>
      </c>
      <c r="C92" s="236" t="str">
        <f t="shared" si="4"/>
        <v/>
      </c>
      <c r="D92" s="141" t="str">
        <f t="shared" si="4"/>
        <v/>
      </c>
      <c r="E92" s="236">
        <f t="shared" si="4"/>
        <v>12</v>
      </c>
      <c r="F92" s="237" t="str">
        <f t="shared" si="4"/>
        <v/>
      </c>
      <c r="G92" s="230" t="str">
        <f t="shared" si="4"/>
        <v/>
      </c>
      <c r="H92" s="230" t="str">
        <f t="shared" si="4"/>
        <v/>
      </c>
    </row>
    <row r="93" spans="1:12" s="191" customFormat="1" ht="12" customHeight="1">
      <c r="A93" s="204" t="str">
        <f t="shared" si="4"/>
        <v/>
      </c>
      <c r="B93" s="205" t="str">
        <f t="shared" si="4"/>
        <v>個</v>
      </c>
      <c r="C93" s="234" t="str">
        <f t="shared" si="4"/>
        <v/>
      </c>
      <c r="D93" s="139" t="str">
        <f t="shared" si="4"/>
        <v/>
      </c>
      <c r="E93" s="234">
        <f t="shared" si="4"/>
        <v>13</v>
      </c>
      <c r="F93" s="208" t="str">
        <f t="shared" si="4"/>
        <v/>
      </c>
      <c r="G93" s="209" t="str">
        <f t="shared" si="4"/>
        <v/>
      </c>
      <c r="H93" s="209" t="str">
        <f t="shared" si="4"/>
        <v/>
      </c>
    </row>
    <row r="94" spans="1:12" s="191" customFormat="1" ht="12" customHeight="1">
      <c r="A94" s="210" t="str">
        <f t="shared" si="4"/>
        <v/>
      </c>
      <c r="B94" s="211" t="str">
        <f t="shared" si="4"/>
        <v>個</v>
      </c>
      <c r="C94" s="235" t="str">
        <f t="shared" si="4"/>
        <v/>
      </c>
      <c r="D94" s="140" t="str">
        <f t="shared" si="4"/>
        <v/>
      </c>
      <c r="E94" s="235">
        <f t="shared" si="4"/>
        <v>14</v>
      </c>
      <c r="F94" s="214" t="str">
        <f t="shared" si="4"/>
        <v/>
      </c>
      <c r="G94" s="215" t="str">
        <f t="shared" si="4"/>
        <v/>
      </c>
      <c r="H94" s="215" t="str">
        <f t="shared" si="4"/>
        <v/>
      </c>
    </row>
    <row r="95" spans="1:12" s="191" customFormat="1" ht="12" customHeight="1">
      <c r="A95" s="225" t="str">
        <f t="shared" si="4"/>
        <v/>
      </c>
      <c r="B95" s="226" t="str">
        <f t="shared" si="4"/>
        <v>個</v>
      </c>
      <c r="C95" s="236" t="str">
        <f t="shared" si="4"/>
        <v/>
      </c>
      <c r="D95" s="141" t="str">
        <f t="shared" si="4"/>
        <v/>
      </c>
      <c r="E95" s="236">
        <f t="shared" si="4"/>
        <v>15</v>
      </c>
      <c r="F95" s="237" t="str">
        <f t="shared" si="4"/>
        <v/>
      </c>
      <c r="G95" s="230" t="str">
        <f t="shared" si="4"/>
        <v/>
      </c>
      <c r="H95" s="230" t="str">
        <f t="shared" si="4"/>
        <v/>
      </c>
    </row>
    <row r="96" spans="1:12" s="191" customFormat="1" ht="12" customHeight="1">
      <c r="H96" s="192"/>
    </row>
    <row r="97" spans="8:8" s="191" customFormat="1" ht="12" customHeight="1">
      <c r="H97" s="192"/>
    </row>
    <row r="98" spans="8:8" s="191" customFormat="1" ht="12" customHeight="1">
      <c r="H98" s="192"/>
    </row>
    <row r="99" spans="8:8" s="191" customFormat="1" ht="12" customHeight="1">
      <c r="H99" s="192"/>
    </row>
    <row r="100" spans="8:8" s="191" customFormat="1" ht="12" customHeight="1">
      <c r="H100" s="192"/>
    </row>
    <row r="101" spans="8:8" s="191" customFormat="1" ht="12" customHeight="1">
      <c r="H101" s="192"/>
    </row>
    <row r="102" spans="8:8" s="191" customFormat="1" ht="12" customHeight="1">
      <c r="H102" s="192"/>
    </row>
    <row r="103" spans="8:8" s="191" customFormat="1" ht="12" customHeight="1">
      <c r="H103" s="192"/>
    </row>
    <row r="104" spans="8:8" s="191" customFormat="1" ht="12" customHeight="1">
      <c r="H104" s="192"/>
    </row>
    <row r="105" spans="8:8" s="191" customFormat="1" ht="12" customHeight="1">
      <c r="H105" s="192"/>
    </row>
    <row r="106" spans="8:8" s="191" customFormat="1" ht="12" customHeight="1">
      <c r="H106" s="192"/>
    </row>
    <row r="129" spans="1:11" s="75" customFormat="1" ht="12.75" customHeight="1">
      <c r="A129" s="410" t="s">
        <v>406</v>
      </c>
      <c r="B129" s="410"/>
      <c r="C129" s="410"/>
      <c r="D129" s="410"/>
      <c r="E129" s="386">
        <f>E61</f>
        <v>43664</v>
      </c>
      <c r="F129" s="387"/>
    </row>
    <row r="130" spans="1:11" s="75" customFormat="1" ht="12.75" customHeight="1">
      <c r="A130" s="255"/>
      <c r="B130" s="255"/>
      <c r="C130" s="255"/>
      <c r="D130" s="255"/>
      <c r="E130" s="239"/>
      <c r="F130" s="239"/>
    </row>
    <row r="131" spans="1:11" s="75" customFormat="1" ht="12.75" customHeight="1">
      <c r="A131" s="255"/>
      <c r="B131" s="255"/>
      <c r="C131" s="255"/>
      <c r="D131" s="255"/>
      <c r="E131" s="238"/>
      <c r="F131" s="238"/>
    </row>
    <row r="132" spans="1:11" s="75" customFormat="1" ht="12.75" customHeight="1">
      <c r="A132" s="189" t="s">
        <v>507</v>
      </c>
      <c r="B132" s="450" t="str">
        <f>B64</f>
        <v/>
      </c>
      <c r="C132" s="450"/>
      <c r="D132" s="450"/>
      <c r="E132" s="239" t="s">
        <v>199</v>
      </c>
      <c r="F132" s="249" t="str">
        <f>F64</f>
        <v xml:space="preserve">○　○　○　○　 </v>
      </c>
      <c r="G132" s="254" t="s">
        <v>511</v>
      </c>
    </row>
    <row r="133" spans="1:11" s="75" customFormat="1" ht="12.75" customHeight="1">
      <c r="E133" s="238"/>
      <c r="F133" s="238"/>
      <c r="H133" s="74"/>
    </row>
    <row r="134" spans="1:11" s="75" customFormat="1" ht="12.75" customHeight="1">
      <c r="E134" s="238"/>
      <c r="F134" s="238"/>
      <c r="H134" s="74"/>
    </row>
    <row r="135" spans="1:11" s="75" customFormat="1" ht="12.75" customHeight="1">
      <c r="A135" s="189" t="s">
        <v>510</v>
      </c>
      <c r="B135" s="450" t="str">
        <f>B67</f>
        <v/>
      </c>
      <c r="C135" s="450"/>
      <c r="D135" s="450"/>
      <c r="E135" s="239" t="s">
        <v>509</v>
      </c>
      <c r="F135" s="249" t="str">
        <f>F67</f>
        <v xml:space="preserve">○　○　○　○　 </v>
      </c>
      <c r="G135" s="254" t="s">
        <v>511</v>
      </c>
      <c r="H135" s="74"/>
      <c r="K135" s="190"/>
    </row>
  </sheetData>
  <sheetProtection password="CC71" sheet="1" objects="1" scenarios="1"/>
  <mergeCells count="43">
    <mergeCell ref="A2:A4"/>
    <mergeCell ref="L2:L3"/>
    <mergeCell ref="B4:C4"/>
    <mergeCell ref="D4:F4"/>
    <mergeCell ref="G4:H4"/>
    <mergeCell ref="B8:C8"/>
    <mergeCell ref="D8:E8"/>
    <mergeCell ref="F8:G8"/>
    <mergeCell ref="C2:G2"/>
    <mergeCell ref="K2:K3"/>
    <mergeCell ref="B6:C6"/>
    <mergeCell ref="D6:G6"/>
    <mergeCell ref="B7:C7"/>
    <mergeCell ref="D7:E7"/>
    <mergeCell ref="F7:G7"/>
    <mergeCell ref="B9:C9"/>
    <mergeCell ref="D9:E9"/>
    <mergeCell ref="F9:G9"/>
    <mergeCell ref="B11:G11"/>
    <mergeCell ref="A61:D61"/>
    <mergeCell ref="E61:F61"/>
    <mergeCell ref="B76:C76"/>
    <mergeCell ref="D76:E76"/>
    <mergeCell ref="F76:G76"/>
    <mergeCell ref="B64:D64"/>
    <mergeCell ref="B67:D67"/>
    <mergeCell ref="C70:G70"/>
    <mergeCell ref="B72:C72"/>
    <mergeCell ref="D72:F72"/>
    <mergeCell ref="G72:H72"/>
    <mergeCell ref="B74:C74"/>
    <mergeCell ref="D74:G74"/>
    <mergeCell ref="B75:C75"/>
    <mergeCell ref="D75:E75"/>
    <mergeCell ref="F75:G75"/>
    <mergeCell ref="B132:D132"/>
    <mergeCell ref="B135:D135"/>
    <mergeCell ref="B77:C77"/>
    <mergeCell ref="D77:E77"/>
    <mergeCell ref="F77:G77"/>
    <mergeCell ref="B79:G79"/>
    <mergeCell ref="A129:D129"/>
    <mergeCell ref="E129:F129"/>
  </mergeCells>
  <phoneticPr fontId="2"/>
  <dataValidations count="1">
    <dataValidation type="list" allowBlank="1" showInputMessage="1" showErrorMessage="1" errorTitle="個数エラー" error="0～2を入力" sqref="I4">
      <formula1>"0,1,2"</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L132"/>
  <sheetViews>
    <sheetView zoomScaleNormal="100" workbookViewId="0"/>
  </sheetViews>
  <sheetFormatPr defaultColWidth="9" defaultRowHeight="12.75"/>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10" width="3.875" style="143" customWidth="1"/>
    <col min="11" max="16384" width="9" style="143"/>
  </cols>
  <sheetData>
    <row r="1" spans="1:12" ht="5.25" customHeight="1"/>
    <row r="2" spans="1:12" ht="22.5" customHeight="1">
      <c r="A2" s="382" t="s">
        <v>518</v>
      </c>
      <c r="B2" s="340">
        <v>1</v>
      </c>
      <c r="C2" s="424" t="str">
        <f>日!B1&amp;"県高校弓道地区大会（北毛･中毛･東毛）"</f>
        <v>令和元年度県高校弓道地区大会（北毛･中毛･東毛）</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301"/>
      <c r="H4" s="302"/>
      <c r="K4" s="62" t="s">
        <v>531</v>
      </c>
      <c r="L4" s="62" t="s">
        <v>532</v>
      </c>
    </row>
    <row r="5" spans="1:12" ht="12.75" customHeight="1">
      <c r="B5" s="144"/>
      <c r="C5" s="144"/>
      <c r="D5" s="145"/>
      <c r="E5" s="145"/>
      <c r="F5" s="145"/>
      <c r="G5" s="145"/>
      <c r="K5" s="341" t="str">
        <f>SUBSTITUTE(SUBSTITUTE(K4," ",""),"　","")</f>
        <v>○○</v>
      </c>
      <c r="L5" s="341" t="str">
        <f>SUBSTITUTE(SUBSTITUTE(L4," ",""),"　","")</f>
        <v>○○</v>
      </c>
    </row>
    <row r="6" spans="1:12" ht="12.75" customHeight="1">
      <c r="B6" s="411" t="s">
        <v>39</v>
      </c>
      <c r="C6" s="411"/>
      <c r="D6" s="427">
        <v>11</v>
      </c>
      <c r="E6" s="427"/>
      <c r="F6" s="427"/>
      <c r="G6" s="427"/>
      <c r="I6" s="147"/>
    </row>
    <row r="7" spans="1:12" ht="12.75" customHeight="1">
      <c r="B7" s="411" t="s">
        <v>40</v>
      </c>
      <c r="C7" s="411"/>
      <c r="D7" s="422">
        <f>VLOOKUP(D6,日!$B$2:$F$111,3,0)</f>
        <v>43734</v>
      </c>
      <c r="E7" s="423"/>
      <c r="F7" s="416" t="str">
        <f>TEXT(WEEKDAY(D7,1),"aaaa")&amp;"　１６時"</f>
        <v>木曜日　１６時</v>
      </c>
      <c r="G7" s="417"/>
      <c r="I7" s="147"/>
    </row>
    <row r="8" spans="1:12" ht="12.75" customHeight="1">
      <c r="B8" s="411" t="s">
        <v>38</v>
      </c>
      <c r="C8" s="411"/>
      <c r="D8" s="418">
        <f>VLOOKUP(D6,日!$B$2:$F$111,5,0)</f>
        <v>43743</v>
      </c>
      <c r="E8" s="419"/>
      <c r="F8" s="420" t="str">
        <f>TEXT(WEEKDAY(D8,1),"aaaa")</f>
        <v>土曜日</v>
      </c>
      <c r="G8" s="421"/>
      <c r="I8" s="147"/>
    </row>
    <row r="9" spans="1:12" ht="12.75" customHeight="1">
      <c r="B9" s="411" t="s">
        <v>41</v>
      </c>
      <c r="C9" s="411"/>
      <c r="D9" s="412" t="s">
        <v>52</v>
      </c>
      <c r="E9" s="453"/>
      <c r="F9" s="453"/>
      <c r="G9" s="413"/>
      <c r="I9" s="147"/>
    </row>
    <row r="10" spans="1:12" ht="12.75" customHeight="1">
      <c r="B10" s="147" t="s">
        <v>62</v>
      </c>
      <c r="C10" s="147"/>
      <c r="D10" s="146"/>
      <c r="E10" s="146"/>
      <c r="F10" s="146"/>
      <c r="G10" s="146"/>
      <c r="I10" s="147"/>
    </row>
    <row r="11" spans="1:12" ht="22.5" customHeight="1">
      <c r="B11" s="414" t="str">
        <f>IF(B2=1,"男　子　団　体　参　加　申　込　書","女　子　団　体　参　加　申　込　書")</f>
        <v>男　子　団　体　参　加　申　込　書</v>
      </c>
      <c r="C11" s="414"/>
      <c r="D11" s="414"/>
      <c r="E11" s="414"/>
      <c r="F11" s="414"/>
      <c r="G11" s="414"/>
      <c r="I11" s="451" t="s">
        <v>53</v>
      </c>
      <c r="J11" s="452"/>
    </row>
    <row r="12" spans="1:12" ht="12.75" customHeight="1">
      <c r="A12" s="340" t="s">
        <v>32</v>
      </c>
      <c r="B12" s="148" t="s">
        <v>51</v>
      </c>
      <c r="C12" s="149" t="s">
        <v>10</v>
      </c>
      <c r="D12" s="150" t="s">
        <v>33</v>
      </c>
      <c r="E12" s="151" t="s">
        <v>12</v>
      </c>
      <c r="F12" s="152" t="s">
        <v>13</v>
      </c>
      <c r="G12" s="153" t="s">
        <v>14</v>
      </c>
      <c r="H12" s="340" t="s">
        <v>47</v>
      </c>
      <c r="I12" s="340" t="s">
        <v>54</v>
      </c>
      <c r="J12" s="340" t="s">
        <v>55</v>
      </c>
    </row>
    <row r="13" spans="1:12" ht="12.75" customHeight="1">
      <c r="A13" s="154" t="str">
        <f>IF($B$2=1,IF($D$13="","",VLOOKUP(登!$D$1,立男!$A$4:$I$100,4,0)),IF($D$13="","",VLOOKUP(登!$D$1,立女!$A$4:$I$100,4,0)))</f>
        <v/>
      </c>
      <c r="B13" s="155" t="s">
        <v>56</v>
      </c>
      <c r="C13" s="156" t="str">
        <f>IF(D13="","",登!$F$1)</f>
        <v/>
      </c>
      <c r="D13" s="63"/>
      <c r="E13" s="157">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4" t="str">
        <f t="shared" ref="H13:H24" si="0">IF(D13="","",IF(COUNTIF($D$13:$D$24,D13)+COUNTIF($D$31:$D$57,D13)&gt;1,"選手重複!!","OK"))</f>
        <v/>
      </c>
      <c r="I13" s="496"/>
      <c r="J13" s="497"/>
    </row>
    <row r="14" spans="1:12" ht="12.75" customHeight="1">
      <c r="A14" s="303" t="str">
        <f>IF($B$2=1,IF($D$13="","",VLOOKUP(登!$D$1,立男!$A$4:$I$100,4,0)),IF($D$13="","",VLOOKUP(登!$D$1,立女!$A$4:$I$100,4,0)))</f>
        <v/>
      </c>
      <c r="B14" s="304" t="s">
        <v>16</v>
      </c>
      <c r="C14" s="305" t="str">
        <f>IF(D14="","",登!$F$1)</f>
        <v/>
      </c>
      <c r="D14" s="495"/>
      <c r="E14" s="306">
        <v>2</v>
      </c>
      <c r="F14" s="307" t="str">
        <f>IF(D14="","",IF(COUNTIF($D$13:D14,"")&gt;0,"大前から詰めて入力",IF(INT(VALUE(RIGHT(D14,3))/100)=$B$2,VLOOKUP(D14,登!$B$4:$I$103,7,0),"部員番号入力ミス")))</f>
        <v/>
      </c>
      <c r="G14" s="308" t="str">
        <f>IF(D14="","",IF(INT(VALUE(RIGHT(D14,3))/100)=$B$2,IF(VLOOKUP(D14,登!$B$4:$I$103,2,0)=登!$B$1,1,IF(VLOOKUP(D14,登!$B$4:$I$103,2,0)=登!$B$1-1,2,IF(VLOOKUP(D14,登!$B$4:$I$103,2,0)=登!$B$1-2,3,"学年ミス"))),"番号ミス"))</f>
        <v/>
      </c>
      <c r="H14" s="303" t="str">
        <f t="shared" si="0"/>
        <v/>
      </c>
      <c r="I14" s="498"/>
      <c r="J14" s="499"/>
    </row>
    <row r="15" spans="1:12" ht="12.75" customHeight="1">
      <c r="A15" s="160" t="str">
        <f>IF($B$2=1,IF($D$13="","",VLOOKUP(登!$D$1,立男!$A$4:$I$100,4,0)),IF($D$13="","",VLOOKUP(登!$D$1,立女!$A$4:$I$100,4,0)))</f>
        <v/>
      </c>
      <c r="B15" s="161" t="s">
        <v>56</v>
      </c>
      <c r="C15" s="162" t="str">
        <f>IF(D15="","",登!$F$1)</f>
        <v/>
      </c>
      <c r="D15" s="64"/>
      <c r="E15" s="163">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0" t="str">
        <f t="shared" si="0"/>
        <v/>
      </c>
      <c r="I15" s="500"/>
      <c r="J15" s="501"/>
    </row>
    <row r="16" spans="1:12" ht="12.75" customHeight="1">
      <c r="A16" s="175" t="str">
        <f>IF($B$2=1,IF($D$13="","",VLOOKUP(登!$D$1,立男!$A$4:$I$100,4,0)),IF($D$13="","",VLOOKUP(登!$D$1,立女!$A$4:$I$100,4,0)))</f>
        <v/>
      </c>
      <c r="B16" s="176" t="s">
        <v>56</v>
      </c>
      <c r="C16" s="177" t="str">
        <f>IF(D16="","",登!$F$1)</f>
        <v/>
      </c>
      <c r="D16" s="66"/>
      <c r="E16" s="179">
        <v>4</v>
      </c>
      <c r="F16" s="188" t="str">
        <f>IF(D16="","",IF(COUNTIF($D$13:D16,"")&gt;0,"大前から詰めて入力",IF(INT(VALUE(RIGHT(D16,3))/100)=$B$2,VLOOKUP(D16,登!$B$4:$I$103,7,0),"部員番号入力ミス")))</f>
        <v/>
      </c>
      <c r="G16" s="181" t="str">
        <f>IF(D16="","",IF(INT(VALUE(RIGHT(D16,3))/100)=$B$2,IF(VLOOKUP(D16,登!$B$4:$I$103,2,0)=登!$B$1,1,IF(VLOOKUP(D16,登!$B$4:$I$103,2,0)=登!$B$1-1,2,IF(VLOOKUP(D16,登!$B$4:$I$103,2,0)=登!$B$1-2,3,"学年ミス"))),"番号ミス"))</f>
        <v/>
      </c>
      <c r="H16" s="175" t="str">
        <f t="shared" si="0"/>
        <v/>
      </c>
      <c r="I16" s="502"/>
      <c r="J16" s="503"/>
    </row>
    <row r="17" spans="1:10" ht="12.75" customHeight="1">
      <c r="A17" s="154" t="str">
        <f>IF($B$2=1,IF($D$17="","",VLOOKUP(登!$D$1,立男!$A$4:$I$100,4,0)+100),IF($D$17="","",VLOOKUP(登!$D$1,立女!$A$4:$I$100,4,0)+100))</f>
        <v/>
      </c>
      <c r="B17" s="155" t="s">
        <v>57</v>
      </c>
      <c r="C17" s="156" t="str">
        <f>IF(D17="","",登!$F$1)</f>
        <v/>
      </c>
      <c r="D17" s="63"/>
      <c r="E17" s="157">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4" t="str">
        <f t="shared" si="0"/>
        <v/>
      </c>
      <c r="I17" s="496"/>
      <c r="J17" s="497"/>
    </row>
    <row r="18" spans="1:10" ht="12.75" customHeight="1">
      <c r="A18" s="303" t="str">
        <f>IF($B$2=1,IF($D$17="","",VLOOKUP(登!$D$1,立男!$A$4:$I$100,4,0)+100),IF($D$17="","",VLOOKUP(登!$D$1,立女!$A$4:$I$100,4,0)+100))</f>
        <v/>
      </c>
      <c r="B18" s="304" t="s">
        <v>17</v>
      </c>
      <c r="C18" s="305" t="str">
        <f>IF(D18="","",登!$F$1)</f>
        <v/>
      </c>
      <c r="D18" s="495"/>
      <c r="E18" s="306">
        <v>6</v>
      </c>
      <c r="F18" s="307" t="str">
        <f>IF(D18="","",IF(COUNTIF($D$13:$D$16,"")=4,"Ａチームから入力",IF(COUNTIF($D$17:D18,"")&gt;0,"大前から詰めて入力",IF(INT(VALUE(RIGHT(D18,3))/100)=$B$2,VLOOKUP(D18,登!$B$4:$I$103,7,0),"部員番号入力ミス"))))</f>
        <v/>
      </c>
      <c r="G18" s="308" t="str">
        <f>IF(D18="","",IF(INT(VALUE(RIGHT(D18,3))/100)=$B$2,IF(VLOOKUP(D18,登!$B$4:$I$103,2,0)=登!$B$1,1,IF(VLOOKUP(D18,登!$B$4:$I$103,2,0)=登!$B$1-1,2,IF(VLOOKUP(D18,登!$B$4:$I$103,2,0)=登!$B$1-2,3,"学年ミス"))),"番号ミス"))</f>
        <v/>
      </c>
      <c r="H18" s="303" t="str">
        <f t="shared" si="0"/>
        <v/>
      </c>
      <c r="I18" s="498"/>
      <c r="J18" s="499"/>
    </row>
    <row r="19" spans="1:10" ht="12.75" customHeight="1">
      <c r="A19" s="160" t="str">
        <f>IF($B$2=1,IF($D$17="","",VLOOKUP(登!$D$1,立男!$A$4:$I$100,4,0)+100),IF($D$17="","",VLOOKUP(登!$D$1,立女!$A$4:$I$100,4,0)+100))</f>
        <v/>
      </c>
      <c r="B19" s="161" t="s">
        <v>57</v>
      </c>
      <c r="C19" s="162" t="str">
        <f>IF(D19="","",登!$F$1)</f>
        <v/>
      </c>
      <c r="D19" s="64"/>
      <c r="E19" s="163">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0" t="str">
        <f t="shared" si="0"/>
        <v/>
      </c>
      <c r="I19" s="500"/>
      <c r="J19" s="501"/>
    </row>
    <row r="20" spans="1:10" ht="12.75" customHeight="1">
      <c r="A20" s="175" t="str">
        <f>IF($B$2=1,IF($D$17="","",VLOOKUP(登!$D$1,立男!$A$4:$I$100,4,0)+100),IF($D$17="","",VLOOKUP(登!$D$1,立女!$A$4:$I$100,4,0)+100))</f>
        <v/>
      </c>
      <c r="B20" s="176" t="s">
        <v>57</v>
      </c>
      <c r="C20" s="177" t="str">
        <f>IF(D20="","",登!$F$1)</f>
        <v/>
      </c>
      <c r="D20" s="66"/>
      <c r="E20" s="179">
        <v>8</v>
      </c>
      <c r="F20" s="188" t="str">
        <f>IF(D20="","",IF(COUNTIF($D$13:$D$16,"")=4,"Ａチームから入力",IF(COUNTIF($D$17:D20,"")&gt;0,"大前から詰めて入力",IF(INT(VALUE(RIGHT(D20,3))/100)=$B$2,VLOOKUP(D20,登!$B$4:$I$103,7,0),"部員番号入力ミス"))))</f>
        <v/>
      </c>
      <c r="G20" s="181" t="str">
        <f>IF(D20="","",IF(INT(VALUE(RIGHT(D20,3))/100)=$B$2,IF(VLOOKUP(D20,登!$B$4:$I$103,2,0)=登!$B$1,1,IF(VLOOKUP(D20,登!$B$4:$I$103,2,0)=登!$B$1-1,2,IF(VLOOKUP(D20,登!$B$4:$I$103,2,0)=登!$B$1-2,3,"学年ミス"))),"番号ミス"))</f>
        <v/>
      </c>
      <c r="H20" s="175" t="str">
        <f t="shared" si="0"/>
        <v/>
      </c>
      <c r="I20" s="502"/>
      <c r="J20" s="503"/>
    </row>
    <row r="21" spans="1:10" ht="12.75" customHeight="1">
      <c r="A21" s="154" t="str">
        <f>IF($B$2=1,IF($D$21="","",VLOOKUP(登!$D$1,立男!$A$4:$I$100,4,0)+200),IF($D$21="","",VLOOKUP(登!$D$1,立女!$A$4:$I$100,4,0)+200))</f>
        <v/>
      </c>
      <c r="B21" s="155" t="s">
        <v>58</v>
      </c>
      <c r="C21" s="156" t="str">
        <f>IF(D21="","",登!$F$1)</f>
        <v/>
      </c>
      <c r="D21" s="63"/>
      <c r="E21" s="157">
        <v>9</v>
      </c>
      <c r="F21" s="158" t="str">
        <f>IF(D21="","",IF(OR(COUNTIF($D$13:$D$16,"")=4,COUNTIF($D$17:$D$20,"")=4),"ＡＢチームから入力",IF(INT(VALUE(RIGHT(D21,3))/100)=$B$2,VLOOKUP(D21,登!$B$4:$I$103,7,0),"部員番号入力ミス")))</f>
        <v/>
      </c>
      <c r="G21" s="159" t="str">
        <f>IF(D21="","",IF(INT(VALUE(RIGHT(D21,3))/100)=$B$2,IF(VLOOKUP(D21,登!$B$4:$I$103,2,0)=登!$B$1,1,IF(VLOOKUP(D21,登!$B$4:$I$103,2,0)=登!$B$1-1,2,IF(VLOOKUP(D21,登!$B$4:$I$103,2,0)=登!$B$1-2,3,"学年ミス"))),"番号ミス"))</f>
        <v/>
      </c>
      <c r="H21" s="154" t="str">
        <f t="shared" si="0"/>
        <v/>
      </c>
      <c r="I21" s="496"/>
      <c r="J21" s="497"/>
    </row>
    <row r="22" spans="1:10" ht="12.75" customHeight="1">
      <c r="A22" s="303" t="str">
        <f>IF($B$2=1,IF($D$21="","",VLOOKUP(登!$D$1,立男!$A$4:$I$100,4,0)+200),IF($D$21="","",VLOOKUP(登!$D$1,立女!$A$4:$I$100,4,0)+200))</f>
        <v/>
      </c>
      <c r="B22" s="304" t="s">
        <v>58</v>
      </c>
      <c r="C22" s="305" t="str">
        <f>IF(D22="","",登!$F$1)</f>
        <v/>
      </c>
      <c r="D22" s="495"/>
      <c r="E22" s="306">
        <v>10</v>
      </c>
      <c r="F22" s="307" t="str">
        <f>IF(D22="","",IF(OR(COUNTIF($D$13:$D$16,"")=4,COUNTIF($D$17:$D$20,"")=4),"ＡＢチームから入力",IF(COUNTIF($D$21:D22,"")&gt;0,"大前から詰めて入力",IF(INT(VALUE(RIGHT(D22,3))/100)=$B$2,VLOOKUP(D22,登!$B$4:$I$103,7,0),"部員番号入力ミス"))))</f>
        <v/>
      </c>
      <c r="G22" s="308" t="str">
        <f>IF(D22="","",IF(INT(VALUE(RIGHT(D22,3))/100)=$B$2,IF(VLOOKUP(D22,登!$B$4:$I$103,2,0)=登!$B$1,1,IF(VLOOKUP(D22,登!$B$4:$I$103,2,0)=登!$B$1-1,2,IF(VLOOKUP(D22,登!$B$4:$I$103,2,0)=登!$B$1-2,3,"学年ミス"))),"番号ミス"))</f>
        <v/>
      </c>
      <c r="H22" s="303" t="str">
        <f t="shared" si="0"/>
        <v/>
      </c>
      <c r="I22" s="498"/>
      <c r="J22" s="499"/>
    </row>
    <row r="23" spans="1:10" ht="12.75" customHeight="1">
      <c r="A23" s="160" t="str">
        <f>IF($B$2=1,IF($D$21="","",VLOOKUP(登!$D$1,立男!$A$4:$I$100,4,0)+200),IF($D$21="","",VLOOKUP(登!$D$1,立女!$A$4:$I$100,4,0)+200))</f>
        <v/>
      </c>
      <c r="B23" s="161" t="s">
        <v>59</v>
      </c>
      <c r="C23" s="162" t="str">
        <f>IF(D23="","",登!$F$1)</f>
        <v/>
      </c>
      <c r="D23" s="64"/>
      <c r="E23" s="163">
        <v>11</v>
      </c>
      <c r="F23" s="164" t="str">
        <f>IF(D23="","",IF(OR(COUNTIF($D$13:$D$16,"")=4,COUNTIF($D$17:$D$20,"")=4),"ＡＢチームから入力",IF(COUNTIF($D$21:D23,"")&gt;0,"大前から詰めて入力",IF(INT(VALUE(RIGHT(D23,3))/100)=$B$2,VLOOKUP(D23,登!$B$4:$I$103,7,0),"部員番号入力ミス"))))</f>
        <v/>
      </c>
      <c r="G23" s="165" t="str">
        <f>IF(D23="","",IF(INT(VALUE(RIGHT(D23,3))/100)=$B$2,IF(VLOOKUP(D23,登!$B$4:$I$103,2,0)=登!$B$1,1,IF(VLOOKUP(D23,登!$B$4:$I$103,2,0)=登!$B$1-1,2,IF(VLOOKUP(D23,登!$B$4:$I$103,2,0)=登!$B$1-2,3,"学年ミス"))),"番号ミス"))</f>
        <v/>
      </c>
      <c r="H23" s="160" t="str">
        <f t="shared" si="0"/>
        <v/>
      </c>
      <c r="I23" s="500"/>
      <c r="J23" s="501"/>
    </row>
    <row r="24" spans="1:10" ht="12.75" customHeight="1">
      <c r="A24" s="175" t="str">
        <f>IF($B$2=1,IF($D$21="","",VLOOKUP(登!$D$1,立男!$A$4:$I$100,4,0)+200),IF($D$21="","",VLOOKUP(登!$D$1,立女!$A$4:$I$100,4,0)+200))</f>
        <v/>
      </c>
      <c r="B24" s="176" t="s">
        <v>60</v>
      </c>
      <c r="C24" s="177" t="str">
        <f>IF(D24="","",登!$F$1)</f>
        <v/>
      </c>
      <c r="D24" s="66"/>
      <c r="E24" s="179">
        <v>12</v>
      </c>
      <c r="F24" s="188" t="str">
        <f>IF(D24="","",IF(OR(COUNTIF($D$13:$D$16,"")=4,COUNTIF($D$17:$D$20,"")=4),"ＡＢチームから入力",IF(COUNTIF($D$21:D24,"")&gt;0,"大前から詰めて入力",IF(INT(VALUE(RIGHT(D24,3))/100)=$B$2,VLOOKUP(D24,登!$B$4:$I$103,7,0),"部員番号入力ミス"))))</f>
        <v/>
      </c>
      <c r="G24" s="181" t="str">
        <f>IF(D24="","",IF(INT(VALUE(RIGHT(D24,3))/100)=$B$2,IF(VLOOKUP(D24,登!$B$4:$I$103,2,0)=登!$B$1,1,IF(VLOOKUP(D24,登!$B$4:$I$103,2,0)=登!$B$1-1,2,IF(VLOOKUP(D24,登!$B$4:$I$103,2,0)=登!$B$1-2,3,"学年ミス"))),"番号ミス"))</f>
        <v/>
      </c>
      <c r="H24" s="175" t="str">
        <f t="shared" si="0"/>
        <v/>
      </c>
      <c r="I24" s="502"/>
      <c r="J24" s="503"/>
    </row>
    <row r="25" spans="1:10" ht="12.75" customHeight="1">
      <c r="A25" s="154" t="str">
        <f>IF($B$2=1,IF($D$25="","",VLOOKUP(登!$D$1,立男!$A$4:$I$100,4,0)+300),IF($D$25="","",VLOOKUP(登!$D$1,立女!$A$4:$I$100,4,0)+300))</f>
        <v/>
      </c>
      <c r="B25" s="155" t="s">
        <v>61</v>
      </c>
      <c r="C25" s="156" t="str">
        <f>IF(D25="","",登!$F$1)</f>
        <v/>
      </c>
      <c r="D25" s="172" t="str">
        <f>IF(D16="","",D16)</f>
        <v/>
      </c>
      <c r="E25" s="157">
        <v>4</v>
      </c>
      <c r="F25" s="173" t="str">
        <f>IF(F16="","",F16)</f>
        <v/>
      </c>
      <c r="G25" s="159" t="str">
        <f>IF(D25="","",IF(INT(VALUE(RIGHT(D25,3))/100)=$B$2,IF(VLOOKUP(D25,登!$B$4:$I$103,2,0)=登!$B$1,1,IF(VLOOKUP(D25,登!$B$4:$I$103,2,0)=登!$B$1-1,2,IF(VLOOKUP(D25,登!$B$4:$I$103,2,0)=登!$B$1-2,3,"学年ミス"))),"番号ミス"))</f>
        <v/>
      </c>
      <c r="H25" s="174"/>
      <c r="I25" s="309" t="str">
        <f>IF(I16="","",I16)</f>
        <v/>
      </c>
      <c r="J25" s="310" t="str">
        <f>IF(J16="","",J16)</f>
        <v/>
      </c>
    </row>
    <row r="26" spans="1:10" ht="12.75" customHeight="1">
      <c r="A26" s="160" t="str">
        <f>IF($B$2=1,IF($D$25="","",VLOOKUP(登!$D$1,立男!$A$4:$I$100,4,0)+300),IF($D$25="","",VLOOKUP(登!$D$1,立女!$A$4:$I$100,4,0)+300))</f>
        <v/>
      </c>
      <c r="B26" s="161" t="s">
        <v>57</v>
      </c>
      <c r="C26" s="162" t="str">
        <f>IF(D26="","",登!$F$1)</f>
        <v/>
      </c>
      <c r="D26" s="332" t="str">
        <f>IF(D20="","",D20)</f>
        <v/>
      </c>
      <c r="E26" s="163">
        <v>8</v>
      </c>
      <c r="F26" s="333" t="str">
        <f>IF(F20="","",F20)</f>
        <v/>
      </c>
      <c r="G26" s="165" t="str">
        <f>IF(D26="","",IF(INT(VALUE(RIGHT(D26,3))/100)=$B$2,IF(VLOOKUP(D26,登!$B$4:$I$103,2,0)=登!$B$1,1,IF(VLOOKUP(D26,登!$B$4:$I$103,2,0)=登!$B$1-1,2,IF(VLOOKUP(D26,登!$B$4:$I$103,2,0)=登!$B$1-2,3,"学年ミス"))),"番号ミス"))</f>
        <v/>
      </c>
      <c r="H26" s="334"/>
      <c r="I26" s="335" t="str">
        <f>IF(I20="","",I20)</f>
        <v/>
      </c>
      <c r="J26" s="336" t="str">
        <f>IF(J20="","",J20)</f>
        <v/>
      </c>
    </row>
    <row r="27" spans="1:10" ht="12.75" customHeight="1">
      <c r="A27" s="175" t="str">
        <f>IF($B$2=1,IF($D$25="","",VLOOKUP(登!$D$1,立男!$A$4:$I$100,4,0)+300),IF($D$25="","",VLOOKUP(登!$D$1,立女!$A$4:$I$100,4,0)+300))</f>
        <v/>
      </c>
      <c r="B27" s="176" t="s">
        <v>60</v>
      </c>
      <c r="C27" s="177" t="str">
        <f>IF(D27="","",登!$F$1)</f>
        <v/>
      </c>
      <c r="D27" s="178" t="str">
        <f>IF(D24="","",D24)</f>
        <v/>
      </c>
      <c r="E27" s="179">
        <v>12</v>
      </c>
      <c r="F27" s="180" t="str">
        <f>IF(F24="","",F24)</f>
        <v/>
      </c>
      <c r="G27" s="181" t="str">
        <f>IF(D27="","",IF(INT(VALUE(RIGHT(D27,3))/100)=$B$2,IF(VLOOKUP(D27,登!$B$4:$I$103,2,0)=登!$B$1,1,IF(VLOOKUP(D27,登!$B$4:$I$103,2,0)=登!$B$1-1,2,IF(VLOOKUP(D27,登!$B$4:$I$103,2,0)=登!$B$1-2,3,"学年ミス"))),"番号ミス"))</f>
        <v/>
      </c>
      <c r="H27" s="182"/>
      <c r="I27" s="311" t="str">
        <f>IF(I24="","",I24)</f>
        <v/>
      </c>
      <c r="J27" s="312" t="str">
        <f>IF(J24="","",J24)</f>
        <v/>
      </c>
    </row>
    <row r="28" spans="1:10" ht="12.75" customHeight="1">
      <c r="B28" s="183" t="s">
        <v>263</v>
      </c>
      <c r="C28" s="184"/>
      <c r="D28" s="184"/>
      <c r="E28" s="184"/>
      <c r="F28" s="184"/>
      <c r="G28" s="184"/>
    </row>
    <row r="29" spans="1:10" ht="22.5" customHeight="1">
      <c r="B29" s="414" t="str">
        <f>IF(B2=1,"男　子　個　人　参　加　申　込　書","女　子　個　人　参　加　申　込　書")</f>
        <v>男　子　個　人　参　加　申　込　書</v>
      </c>
      <c r="C29" s="414"/>
      <c r="D29" s="414"/>
      <c r="E29" s="414"/>
      <c r="F29" s="414"/>
      <c r="G29" s="414"/>
      <c r="I29" s="451" t="s">
        <v>53</v>
      </c>
      <c r="J29" s="452"/>
    </row>
    <row r="30" spans="1:10" ht="12.75" customHeight="1">
      <c r="A30" s="340" t="s">
        <v>32</v>
      </c>
      <c r="B30" s="148" t="s">
        <v>51</v>
      </c>
      <c r="C30" s="152" t="s">
        <v>10</v>
      </c>
      <c r="D30" s="150" t="s">
        <v>33</v>
      </c>
      <c r="E30" s="152" t="s">
        <v>12</v>
      </c>
      <c r="F30" s="152" t="s">
        <v>13</v>
      </c>
      <c r="G30" s="153" t="s">
        <v>14</v>
      </c>
      <c r="H30" s="340" t="s">
        <v>47</v>
      </c>
      <c r="I30" s="340" t="s">
        <v>54</v>
      </c>
      <c r="J30" s="340" t="s">
        <v>55</v>
      </c>
    </row>
    <row r="31" spans="1:10" ht="12.75" customHeight="1">
      <c r="A31" s="154" t="str">
        <f>IF($B$2=1,IF($D$31="","",VLOOKUP(登!$D$1,立男!$A$4:$I$100,4,0)+400),IF($D$31="","",VLOOKUP(登!$D$1,立女!$A$4:$I$100,4,0)+400))</f>
        <v/>
      </c>
      <c r="B31" s="155" t="s">
        <v>21</v>
      </c>
      <c r="C31" s="185" t="str">
        <f>IF(D31="","",登!$F$1)</f>
        <v/>
      </c>
      <c r="D31" s="63"/>
      <c r="E31" s="185">
        <v>13</v>
      </c>
      <c r="F31" s="158" t="str">
        <f>IF(D31="","",IF(COUNTIF($D$13:$D$24,"")&gt;0,"団体から入力",IF(INT(VALUE(RIGHT(D31,3))/100)=$B$2,VLOOKUP(D31,登!$B$4:$I$103,7,0),"部員番号入力ミス")))</f>
        <v/>
      </c>
      <c r="G31" s="159" t="str">
        <f>IF(D31="","",IF(INT(VALUE(RIGHT(D31,3))/100)=$B$2,IF(VLOOKUP(D31,登!$B$4:$I$103,2,0)=登!$B$1,1,IF(VLOOKUP(D31,登!$B$4:$I$103,2,0)=登!$B$1-1,2,IF(VLOOKUP(D31,登!$B$4:$I$103,2,0)=登!$B$1-2,3,"学年ミス"))),"番号ミス"))</f>
        <v/>
      </c>
      <c r="H31" s="154" t="str">
        <f t="shared" ref="H31:H57" si="1">IF(D31="","",IF(COUNTIF($D$13:$D$24,D31)+COUNTIF($D$31:$D$57,D31)&gt;1,"選手重複!!","OK"))</f>
        <v/>
      </c>
      <c r="I31" s="496"/>
      <c r="J31" s="497"/>
    </row>
    <row r="32" spans="1:10" ht="12.75" customHeight="1">
      <c r="A32" s="160" t="str">
        <f>IF($B$2=1,IF($D$31="","",VLOOKUP(登!$D$1,立男!$A$4:$I$100,4,0)+400),IF($D$31="","",VLOOKUP(登!$D$1,立女!$A$4:$I$100,4,0)+400))</f>
        <v/>
      </c>
      <c r="B32" s="161" t="s">
        <v>21</v>
      </c>
      <c r="C32" s="186" t="str">
        <f>IF(D32="","",登!$F$1)</f>
        <v/>
      </c>
      <c r="D32" s="64"/>
      <c r="E32" s="186">
        <v>14</v>
      </c>
      <c r="F32" s="164" t="str">
        <f>IF(D32="","",IF(COUNTIF($D$13:$D$24,"")&gt;0,"団体から入力",IF(COUNTIF($D$31:D32,"")&gt;0,"上から詰めて入力",IF(INT(VALUE(RIGHT(D32,3))/100)=$B$2,VLOOKUP(D32,登!$B$4:$I$103,7,0),"部員番号入力ミス"))))</f>
        <v/>
      </c>
      <c r="G32" s="165" t="str">
        <f>IF(D32="","",IF(INT(VALUE(RIGHT(D32,3))/100)=$B$2,IF(VLOOKUP(D32,登!$B$4:$I$103,2,0)=登!$B$1,1,IF(VLOOKUP(D32,登!$B$4:$I$103,2,0)=登!$B$1-1,2,IF(VLOOKUP(D32,登!$B$4:$I$103,2,0)=登!$B$1-2,3,"学年ミス"))),"番号ミス"))</f>
        <v/>
      </c>
      <c r="H32" s="160" t="str">
        <f t="shared" si="1"/>
        <v/>
      </c>
      <c r="I32" s="500"/>
      <c r="J32" s="501"/>
    </row>
    <row r="33" spans="1:12" ht="12.75" customHeight="1">
      <c r="A33" s="175" t="str">
        <f>IF($B$2=1,IF($D$31="","",VLOOKUP(登!$D$1,立男!$A$4:$I$100,4,0)+400),IF($D$31="","",VLOOKUP(登!$D$1,立女!$A$4:$I$100,4,0)+400))</f>
        <v/>
      </c>
      <c r="B33" s="176" t="s">
        <v>21</v>
      </c>
      <c r="C33" s="187" t="str">
        <f>IF(D33="","",登!$F$1)</f>
        <v/>
      </c>
      <c r="D33" s="66"/>
      <c r="E33" s="187">
        <v>15</v>
      </c>
      <c r="F33" s="188" t="str">
        <f>IF(D33="","",IF(COUNTIF($D$13:$D$24,"")&gt;0,"団体から入力",IF(COUNTIF($D$31:D33,"")&gt;0,"上から詰めて入力",IF(INT(VALUE(RIGHT(D33,3))/100)=$B$2,VLOOKUP(D33,登!$B$4:$I$103,7,0),"部員番号入力ミス"))))</f>
        <v/>
      </c>
      <c r="G33" s="181" t="str">
        <f>IF(D33="","",IF(INT(VALUE(RIGHT(D33,3))/100)=$B$2,IF(VLOOKUP(D33,登!$B$4:$I$103,2,0)=登!$B$1,1,IF(VLOOKUP(D33,登!$B$4:$I$103,2,0)=登!$B$1-1,2,IF(VLOOKUP(D33,登!$B$4:$I$103,2,0)=登!$B$1-2,3,"学年ミス"))),"番号ミス"))</f>
        <v/>
      </c>
      <c r="H33" s="175" t="str">
        <f t="shared" si="1"/>
        <v/>
      </c>
      <c r="I33" s="502"/>
      <c r="J33" s="503"/>
    </row>
    <row r="34" spans="1:12" ht="12.75" customHeight="1">
      <c r="A34" s="154" t="str">
        <f>IF($B$2=1,IF($D$34="","",VLOOKUP(登!$D$1,立男!$A$4:$I$100,4,0)+500),IF($D$34="","",VLOOKUP(登!$D$1,立女!$A$4:$I$100,4,0)+500))</f>
        <v/>
      </c>
      <c r="B34" s="155" t="s">
        <v>21</v>
      </c>
      <c r="C34" s="185" t="str">
        <f>IF(D34="","",登!$F$1)</f>
        <v/>
      </c>
      <c r="D34" s="63"/>
      <c r="E34" s="185">
        <v>16</v>
      </c>
      <c r="F34" s="158" t="str">
        <f>IF(D34="","",IF(COUNTIF($D$13:$D$24,"")&gt;0,"団体から入力",IF(COUNTIF($D$31:D34,"")&gt;0,"上から詰めて入力",IF(INT(VALUE(RIGHT(D34,3))/100)=$B$2,VLOOKUP(D34,登!$B$4:$I$103,7,0),"部員番号入力ミス"))))</f>
        <v/>
      </c>
      <c r="G34" s="159" t="str">
        <f>IF(D34="","",IF(INT(VALUE(RIGHT(D34,3))/100)=$B$2,IF(VLOOKUP(D34,登!$B$4:$I$103,2,0)=登!$B$1,1,IF(VLOOKUP(D34,登!$B$4:$I$103,2,0)=登!$B$1-1,2,IF(VLOOKUP(D34,登!$B$4:$I$103,2,0)=登!$B$1-2,3,"学年ミス"))),"番号ミス"))</f>
        <v/>
      </c>
      <c r="H34" s="154" t="str">
        <f t="shared" si="1"/>
        <v/>
      </c>
      <c r="I34" s="496"/>
      <c r="J34" s="497"/>
    </row>
    <row r="35" spans="1:12" ht="12.75" customHeight="1">
      <c r="A35" s="160" t="str">
        <f>IF($B$2=1,IF($D$34="","",VLOOKUP(登!$D$1,立男!$A$4:$I$100,4,0)+500),IF($D$34="","",VLOOKUP(登!$D$1,立女!$A$4:$I$100,4,0)+500))</f>
        <v/>
      </c>
      <c r="B35" s="161" t="s">
        <v>21</v>
      </c>
      <c r="C35" s="186" t="str">
        <f>IF(D35="","",登!$F$1)</f>
        <v/>
      </c>
      <c r="D35" s="64"/>
      <c r="E35" s="186">
        <v>17</v>
      </c>
      <c r="F35" s="164" t="str">
        <f>IF(D35="","",IF(COUNTIF($D$13:$D$24,"")&gt;0,"団体から入力",IF(COUNTIF($D$31:D35,"")&gt;0,"上から詰めて入力",IF(INT(VALUE(RIGHT(D35,3))/100)=$B$2,VLOOKUP(D35,登!$B$4:$I$103,7,0),"部員番号入力ミス"))))</f>
        <v/>
      </c>
      <c r="G35" s="165" t="str">
        <f>IF(D35="","",IF(INT(VALUE(RIGHT(D35,3))/100)=$B$2,IF(VLOOKUP(D35,登!$B$4:$I$103,2,0)=登!$B$1,1,IF(VLOOKUP(D35,登!$B$4:$I$103,2,0)=登!$B$1-1,2,IF(VLOOKUP(D35,登!$B$4:$I$103,2,0)=登!$B$1-2,3,"学年ミス"))),"番号ミス"))</f>
        <v/>
      </c>
      <c r="H35" s="160" t="str">
        <f t="shared" si="1"/>
        <v/>
      </c>
      <c r="I35" s="500"/>
      <c r="J35" s="501"/>
    </row>
    <row r="36" spans="1:12" ht="12.75" customHeight="1">
      <c r="A36" s="175" t="str">
        <f>IF($B$2=1,IF($D$34="","",VLOOKUP(登!$D$1,立男!$A$4:$I$100,4,0)+500),IF($D$34="","",VLOOKUP(登!$D$1,立女!$A$4:$I$100,4,0)+500))</f>
        <v/>
      </c>
      <c r="B36" s="176" t="s">
        <v>21</v>
      </c>
      <c r="C36" s="187" t="str">
        <f>IF(D36="","",登!$F$1)</f>
        <v/>
      </c>
      <c r="D36" s="66"/>
      <c r="E36" s="187">
        <v>18</v>
      </c>
      <c r="F36" s="188" t="str">
        <f>IF(D36="","",IF(COUNTIF($D$13:$D$24,"")&gt;0,"団体から入力",IF(COUNTIF($D$31:D36,"")&gt;0,"上から詰めて入力",IF(INT(VALUE(RIGHT(D36,3))/100)=$B$2,VLOOKUP(D36,登!$B$4:$I$103,7,0),"部員番号入力ミス"))))</f>
        <v/>
      </c>
      <c r="G36" s="181" t="str">
        <f>IF(D36="","",IF(INT(VALUE(RIGHT(D36,3))/100)=$B$2,IF(VLOOKUP(D36,登!$B$4:$I$103,2,0)=登!$B$1,1,IF(VLOOKUP(D36,登!$B$4:$I$103,2,0)=登!$B$1-1,2,IF(VLOOKUP(D36,登!$B$4:$I$103,2,0)=登!$B$1-2,3,"学年ミス"))),"番号ミス"))</f>
        <v/>
      </c>
      <c r="H36" s="175" t="str">
        <f t="shared" si="1"/>
        <v/>
      </c>
      <c r="I36" s="502"/>
      <c r="J36" s="503"/>
    </row>
    <row r="37" spans="1:12" ht="12.75" customHeight="1">
      <c r="A37" s="154" t="str">
        <f>IF($B$2=1,IF($D$37="","",VLOOKUP(登!$D$1,立男!$A$4:$I$100,4,0)+600),IF($D$37="","",VLOOKUP(登!$D$1,立女!$A$4:$I$100,4,0)+600))</f>
        <v/>
      </c>
      <c r="B37" s="155" t="s">
        <v>21</v>
      </c>
      <c r="C37" s="185" t="str">
        <f>IF(D37="","",登!$F$1)</f>
        <v/>
      </c>
      <c r="D37" s="63"/>
      <c r="E37" s="185">
        <v>19</v>
      </c>
      <c r="F37" s="158" t="str">
        <f>IF(D37="","",IF(COUNTIF($D$13:$D$24,"")&gt;0,"団体から入力",IF(COUNTIF($D$31:D37,"")&gt;0,"上から詰めて入力",IF(INT(VALUE(RIGHT(D37,3))/100)=$B$2,VLOOKUP(D37,登!$B$4:$I$103,7,0),"部員番号入力ミス"))))</f>
        <v/>
      </c>
      <c r="G37" s="159" t="str">
        <f>IF(D37="","",IF(INT(VALUE(RIGHT(D37,3))/100)=$B$2,IF(VLOOKUP(D37,登!$B$4:$I$103,2,0)=登!$B$1,1,IF(VLOOKUP(D37,登!$B$4:$I$103,2,0)=登!$B$1-1,2,IF(VLOOKUP(D37,登!$B$4:$I$103,2,0)=登!$B$1-2,3,"学年ミス"))),"番号ミス"))</f>
        <v/>
      </c>
      <c r="H37" s="154" t="str">
        <f t="shared" si="1"/>
        <v/>
      </c>
      <c r="I37" s="496"/>
      <c r="J37" s="497"/>
    </row>
    <row r="38" spans="1:12" ht="12.75" customHeight="1">
      <c r="A38" s="160" t="str">
        <f>IF($B$2=1,IF($D$37="","",VLOOKUP(登!$D$1,立男!$A$4:$I$100,4,0)+600),IF($D$37="","",VLOOKUP(登!$D$1,立女!$A$4:$I$100,4,0)+600))</f>
        <v/>
      </c>
      <c r="B38" s="161" t="s">
        <v>21</v>
      </c>
      <c r="C38" s="186" t="str">
        <f>IF(D38="","",登!$F$1)</f>
        <v/>
      </c>
      <c r="D38" s="64"/>
      <c r="E38" s="186">
        <v>20</v>
      </c>
      <c r="F38" s="164" t="str">
        <f>IF(D38="","",IF(COUNTIF($D$13:$D$24,"")&gt;0,"団体から入力",IF(COUNTIF($D$31:D38,"")&gt;0,"上から詰めて入力",IF(INT(VALUE(RIGHT(D38,3))/100)=$B$2,VLOOKUP(D38,登!$B$4:$I$103,7,0),"部員番号入力ミス"))))</f>
        <v/>
      </c>
      <c r="G38" s="165" t="str">
        <f>IF(D38="","",IF(INT(VALUE(RIGHT(D38,3))/100)=$B$2,IF(VLOOKUP(D38,登!$B$4:$I$103,2,0)=登!$B$1,1,IF(VLOOKUP(D38,登!$B$4:$I$103,2,0)=登!$B$1-1,2,IF(VLOOKUP(D38,登!$B$4:$I$103,2,0)=登!$B$1-2,3,"学年ミス"))),"番号ミス"))</f>
        <v/>
      </c>
      <c r="H38" s="160" t="str">
        <f t="shared" si="1"/>
        <v/>
      </c>
      <c r="I38" s="500"/>
      <c r="J38" s="501"/>
    </row>
    <row r="39" spans="1:12" ht="12.75" customHeight="1">
      <c r="A39" s="175" t="str">
        <f>IF($B$2=1,IF($D$37="","",VLOOKUP(登!$D$1,立男!$A$4:$I$100,4,0)+600),IF($D$37="","",VLOOKUP(登!$D$1,立女!$A$4:$I$100,4,0)+600))</f>
        <v/>
      </c>
      <c r="B39" s="176" t="s">
        <v>21</v>
      </c>
      <c r="C39" s="187" t="str">
        <f>IF(D39="","",登!$F$1)</f>
        <v/>
      </c>
      <c r="D39" s="66"/>
      <c r="E39" s="187">
        <v>21</v>
      </c>
      <c r="F39" s="188" t="str">
        <f>IF(D39="","",IF(COUNTIF($D$13:$D$24,"")&gt;0,"団体から入力",IF(COUNTIF($D$31:D39,"")&gt;0,"上から詰めて入力",IF(INT(VALUE(RIGHT(D39,3))/100)=$B$2,VLOOKUP(D39,登!$B$4:$I$103,7,0),"部員番号入力ミス"))))</f>
        <v/>
      </c>
      <c r="G39" s="181" t="str">
        <f>IF(D39="","",IF(INT(VALUE(RIGHT(D39,3))/100)=$B$2,IF(VLOOKUP(D39,登!$B$4:$I$103,2,0)=登!$B$1,1,IF(VLOOKUP(D39,登!$B$4:$I$103,2,0)=登!$B$1-1,2,IF(VLOOKUP(D39,登!$B$4:$I$103,2,0)=登!$B$1-2,3,"学年ミス"))),"番号ミス"))</f>
        <v/>
      </c>
      <c r="H39" s="175" t="str">
        <f t="shared" si="1"/>
        <v/>
      </c>
      <c r="I39" s="502"/>
      <c r="J39" s="503"/>
      <c r="L39" s="147"/>
    </row>
    <row r="40" spans="1:12" ht="12.75" customHeight="1">
      <c r="A40" s="154" t="str">
        <f>IF($B$2=1,IF($D$40="","",VLOOKUP(登!$D$1,立男!$A$4:$I$100,4,0)+700),IF($D$40="","",VLOOKUP(登!$D$1,立女!$A$4:$I$100,4,0)+700))</f>
        <v/>
      </c>
      <c r="B40" s="155" t="s">
        <v>21</v>
      </c>
      <c r="C40" s="185" t="str">
        <f>IF(D40="","",登!$F$1)</f>
        <v/>
      </c>
      <c r="D40" s="63"/>
      <c r="E40" s="185">
        <v>22</v>
      </c>
      <c r="F40" s="158" t="str">
        <f>IF(D40="","",IF(COUNTIF($D$13:$D$24,"")&gt;0,"団体から入力",IF(COUNTIF($D$31:D40,"")&gt;0,"上から詰めて入力",IF(INT(VALUE(RIGHT(D40,3))/100)=$B$2,VLOOKUP(D40,登!$B$4:$I$103,7,0),"部員番号入力ミス"))))</f>
        <v/>
      </c>
      <c r="G40" s="159" t="str">
        <f>IF(D40="","",IF(INT(VALUE(RIGHT(D40,3))/100)=$B$2,IF(VLOOKUP(D40,登!$B$4:$I$103,2,0)=登!$B$1,1,IF(VLOOKUP(D40,登!$B$4:$I$103,2,0)=登!$B$1-1,2,IF(VLOOKUP(D40,登!$B$4:$I$103,2,0)=登!$B$1-2,3,"学年ミス"))),"番号ミス"))</f>
        <v/>
      </c>
      <c r="H40" s="154" t="str">
        <f t="shared" si="1"/>
        <v/>
      </c>
      <c r="I40" s="496"/>
      <c r="J40" s="497"/>
      <c r="L40" s="147"/>
    </row>
    <row r="41" spans="1:12" ht="12.75" customHeight="1">
      <c r="A41" s="160" t="str">
        <f>IF($B$2=1,IF($D$40="","",VLOOKUP(登!$D$1,立男!$A$4:$I$100,4,0)+700),IF($D$40="","",VLOOKUP(登!$D$1,立女!$A$4:$I$100,4,0)+700))</f>
        <v/>
      </c>
      <c r="B41" s="161" t="s">
        <v>21</v>
      </c>
      <c r="C41" s="186" t="str">
        <f>IF(D41="","",登!$F$1)</f>
        <v/>
      </c>
      <c r="D41" s="64"/>
      <c r="E41" s="186">
        <v>23</v>
      </c>
      <c r="F41" s="164" t="str">
        <f>IF(D41="","",IF(COUNTIF($D$13:$D$24,"")&gt;0,"団体から入力",IF(COUNTIF($D$31:D41,"")&gt;0,"上から詰めて入力",IF(INT(VALUE(RIGHT(D41,3))/100)=$B$2,VLOOKUP(D41,登!$B$4:$I$103,7,0),"部員番号入力ミス"))))</f>
        <v/>
      </c>
      <c r="G41" s="165" t="str">
        <f>IF(D41="","",IF(INT(VALUE(RIGHT(D41,3))/100)=$B$2,IF(VLOOKUP(D41,登!$B$4:$I$103,2,0)=登!$B$1,1,IF(VLOOKUP(D41,登!$B$4:$I$103,2,0)=登!$B$1-1,2,IF(VLOOKUP(D41,登!$B$4:$I$103,2,0)=登!$B$1-2,3,"学年ミス"))),"番号ミス"))</f>
        <v/>
      </c>
      <c r="H41" s="160" t="str">
        <f t="shared" si="1"/>
        <v/>
      </c>
      <c r="I41" s="500"/>
      <c r="J41" s="501"/>
      <c r="L41" s="147"/>
    </row>
    <row r="42" spans="1:12" ht="12.75" customHeight="1">
      <c r="A42" s="175" t="str">
        <f>IF($B$2=1,IF($D$40="","",VLOOKUP(登!$D$1,立男!$A$4:$I$100,4,0)+700),IF($D$40="","",VLOOKUP(登!$D$1,立女!$A$4:$I$100,4,0)+700))</f>
        <v/>
      </c>
      <c r="B42" s="176" t="s">
        <v>21</v>
      </c>
      <c r="C42" s="187" t="str">
        <f>IF(D42="","",登!$F$1)</f>
        <v/>
      </c>
      <c r="D42" s="66"/>
      <c r="E42" s="187">
        <v>24</v>
      </c>
      <c r="F42" s="188" t="str">
        <f>IF(D42="","",IF(COUNTIF($D$13:$D$24,"")&gt;0,"団体から入力",IF(COUNTIF($D$31:D42,"")&gt;0,"上から詰めて入力",IF(INT(VALUE(RIGHT(D42,3))/100)=$B$2,VLOOKUP(D42,登!$B$4:$I$103,7,0),"部員番号入力ミス"))))</f>
        <v/>
      </c>
      <c r="G42" s="181" t="str">
        <f>IF(D42="","",IF(INT(VALUE(RIGHT(D42,3))/100)=$B$2,IF(VLOOKUP(D42,登!$B$4:$I$103,2,0)=登!$B$1,1,IF(VLOOKUP(D42,登!$B$4:$I$103,2,0)=登!$B$1-1,2,IF(VLOOKUP(D42,登!$B$4:$I$103,2,0)=登!$B$1-2,3,"学年ミス"))),"番号ミス"))</f>
        <v/>
      </c>
      <c r="H42" s="175" t="str">
        <f t="shared" si="1"/>
        <v/>
      </c>
      <c r="I42" s="502"/>
      <c r="J42" s="503"/>
      <c r="L42" s="147"/>
    </row>
    <row r="43" spans="1:12" ht="12.75" customHeight="1">
      <c r="A43" s="154" t="str">
        <f>IF($B$2=1,IF($D$43="","",VLOOKUP(登!$D$1,立男!$A$4:$I$100,4,0)+800),IF($D$43="","",VLOOKUP(登!$D$1,立女!$A$4:$I$100,4,0)+800))</f>
        <v/>
      </c>
      <c r="B43" s="155" t="s">
        <v>21</v>
      </c>
      <c r="C43" s="185" t="str">
        <f>IF(D43="","",登!$F$1)</f>
        <v/>
      </c>
      <c r="D43" s="63"/>
      <c r="E43" s="185">
        <v>25</v>
      </c>
      <c r="F43" s="158" t="str">
        <f>IF(D43="","",IF(COUNTIF($D$13:$D$24,"")&gt;0,"団体から入力",IF(COUNTIF($D$31:D43,"")&gt;0,"上から詰めて入力",IF(INT(VALUE(RIGHT(D43,3))/100)=$B$2,VLOOKUP(D43,登!$B$4:$I$103,7,0),"部員番号入力ミス"))))</f>
        <v/>
      </c>
      <c r="G43" s="159" t="str">
        <f>IF(D43="","",IF(INT(VALUE(RIGHT(D43,3))/100)=$B$2,IF(VLOOKUP(D43,登!$B$4:$I$103,2,0)=登!$B$1,1,IF(VLOOKUP(D43,登!$B$4:$I$103,2,0)=登!$B$1-1,2,IF(VLOOKUP(D43,登!$B$4:$I$103,2,0)=登!$B$1-2,3,"学年ミス"))),"番号ミス"))</f>
        <v/>
      </c>
      <c r="H43" s="154" t="str">
        <f t="shared" si="1"/>
        <v/>
      </c>
      <c r="I43" s="496"/>
      <c r="J43" s="497"/>
      <c r="L43" s="147"/>
    </row>
    <row r="44" spans="1:12" ht="12.75" customHeight="1">
      <c r="A44" s="160" t="str">
        <f>IF($B$2=1,IF($D$43="","",VLOOKUP(登!$D$1,立男!$A$4:$I$100,4,0)+800),IF($D$43="","",VLOOKUP(登!$D$1,立女!$A$4:$I$100,4,0)+800))</f>
        <v/>
      </c>
      <c r="B44" s="161" t="s">
        <v>21</v>
      </c>
      <c r="C44" s="186" t="str">
        <f>IF(D44="","",登!$F$1)</f>
        <v/>
      </c>
      <c r="D44" s="64"/>
      <c r="E44" s="186">
        <v>26</v>
      </c>
      <c r="F44" s="164" t="str">
        <f>IF(D44="","",IF(COUNTIF($D$13:$D$24,"")&gt;0,"団体から入力",IF(COUNTIF($D$31:D44,"")&gt;0,"上から詰めて入力",IF(INT(VALUE(RIGHT(D44,3))/100)=$B$2,VLOOKUP(D44,登!$B$4:$I$103,7,0),"部員番号入力ミス"))))</f>
        <v/>
      </c>
      <c r="G44" s="165" t="str">
        <f>IF(D44="","",IF(INT(VALUE(RIGHT(D44,3))/100)=$B$2,IF(VLOOKUP(D44,登!$B$4:$I$103,2,0)=登!$B$1,1,IF(VLOOKUP(D44,登!$B$4:$I$103,2,0)=登!$B$1-1,2,IF(VLOOKUP(D44,登!$B$4:$I$103,2,0)=登!$B$1-2,3,"学年ミス"))),"番号ミス"))</f>
        <v/>
      </c>
      <c r="H44" s="160" t="str">
        <f t="shared" si="1"/>
        <v/>
      </c>
      <c r="I44" s="500"/>
      <c r="J44" s="501"/>
    </row>
    <row r="45" spans="1:12" ht="12.75" customHeight="1">
      <c r="A45" s="175" t="str">
        <f>IF($B$2=1,IF($D$43="","",VLOOKUP(登!$D$1,立男!$A$4:$I$100,4,0)+800),IF($D$43="","",VLOOKUP(登!$D$1,立女!$A$4:$I$100,4,0)+800))</f>
        <v/>
      </c>
      <c r="B45" s="176" t="s">
        <v>21</v>
      </c>
      <c r="C45" s="187" t="str">
        <f>IF(D45="","",登!$F$1)</f>
        <v/>
      </c>
      <c r="D45" s="66"/>
      <c r="E45" s="187">
        <v>27</v>
      </c>
      <c r="F45" s="188" t="str">
        <f>IF(D45="","",IF(COUNTIF($D$13:$D$24,"")&gt;0,"団体から入力",IF(COUNTIF($D$31:D45,"")&gt;0,"上から詰めて入力",IF(INT(VALUE(RIGHT(D45,3))/100)=$B$2,VLOOKUP(D45,登!$B$4:$I$103,7,0),"部員番号入力ミス"))))</f>
        <v/>
      </c>
      <c r="G45" s="181" t="str">
        <f>IF(D45="","",IF(INT(VALUE(RIGHT(D45,3))/100)=$B$2,IF(VLOOKUP(D45,登!$B$4:$I$103,2,0)=登!$B$1,1,IF(VLOOKUP(D45,登!$B$4:$I$103,2,0)=登!$B$1-1,2,IF(VLOOKUP(D45,登!$B$4:$I$103,2,0)=登!$B$1-2,3,"学年ミス"))),"番号ミス"))</f>
        <v/>
      </c>
      <c r="H45" s="175" t="str">
        <f t="shared" si="1"/>
        <v/>
      </c>
      <c r="I45" s="502"/>
      <c r="J45" s="503"/>
    </row>
    <row r="46" spans="1:12" ht="12.75" customHeight="1">
      <c r="A46" s="154" t="str">
        <f>IF($B$2=1,IF($D$46="","",VLOOKUP(登!$D$1,立男!$A$4:$I$100,4,0)+900),IF($D$46="","",VLOOKUP(登!$D$1,立女!$A$4:$I$100,4,0)+900))</f>
        <v/>
      </c>
      <c r="B46" s="155" t="s">
        <v>21</v>
      </c>
      <c r="C46" s="185" t="str">
        <f>IF(D46="","",登!$F$1)</f>
        <v/>
      </c>
      <c r="D46" s="63"/>
      <c r="E46" s="185">
        <v>28</v>
      </c>
      <c r="F46" s="158" t="str">
        <f>IF(D46="","",IF(COUNTIF($D$13:$D$24,"")&gt;0,"団体から入力",IF(COUNTIF($D$31:D46,"")&gt;0,"上から詰めて入力",IF(INT(VALUE(RIGHT(D46,3))/100)=$B$2,VLOOKUP(D46,登!$B$4:$I$103,7,0),"部員番号入力ミス"))))</f>
        <v/>
      </c>
      <c r="G46" s="159" t="str">
        <f>IF(D46="","",IF(INT(VALUE(RIGHT(D46,3))/100)=$B$2,IF(VLOOKUP(D46,登!$B$4:$I$103,2,0)=登!$B$1,1,IF(VLOOKUP(D46,登!$B$4:$I$103,2,0)=登!$B$1-1,2,IF(VLOOKUP(D46,登!$B$4:$I$103,2,0)=登!$B$1-2,3,"学年ミス"))),"番号ミス"))</f>
        <v/>
      </c>
      <c r="H46" s="154" t="str">
        <f t="shared" si="1"/>
        <v/>
      </c>
      <c r="I46" s="496"/>
      <c r="J46" s="497"/>
    </row>
    <row r="47" spans="1:12" ht="12.75" customHeight="1">
      <c r="A47" s="160" t="str">
        <f>IF($B$2=1,IF($D$46="","",VLOOKUP(登!$D$1,立男!$A$4:$I$100,4,0)+900),IF($D$46="","",VLOOKUP(登!$D$1,立女!$A$4:$I$100,4,0)+900))</f>
        <v/>
      </c>
      <c r="B47" s="161" t="s">
        <v>21</v>
      </c>
      <c r="C47" s="186" t="str">
        <f>IF(D47="","",登!$F$1)</f>
        <v/>
      </c>
      <c r="D47" s="64"/>
      <c r="E47" s="186">
        <v>29</v>
      </c>
      <c r="F47" s="164" t="str">
        <f>IF(D47="","",IF(COUNTIF($D$13:$D$24,"")&gt;0,"団体から入力",IF(COUNTIF($D$31:D47,"")&gt;0,"上から詰めて入力",IF(INT(VALUE(RIGHT(D47,3))/100)=$B$2,VLOOKUP(D47,登!$B$4:$I$103,7,0),"部員番号入力ミス"))))</f>
        <v/>
      </c>
      <c r="G47" s="165" t="str">
        <f>IF(D47="","",IF(INT(VALUE(RIGHT(D47,3))/100)=$B$2,IF(VLOOKUP(D47,登!$B$4:$I$103,2,0)=登!$B$1,1,IF(VLOOKUP(D47,登!$B$4:$I$103,2,0)=登!$B$1-1,2,IF(VLOOKUP(D47,登!$B$4:$I$103,2,0)=登!$B$1-2,3,"学年ミス"))),"番号ミス"))</f>
        <v/>
      </c>
      <c r="H47" s="160" t="str">
        <f t="shared" si="1"/>
        <v/>
      </c>
      <c r="I47" s="500"/>
      <c r="J47" s="501"/>
    </row>
    <row r="48" spans="1:12" ht="12.75" customHeight="1">
      <c r="A48" s="175" t="str">
        <f>IF($B$2=1,IF($D$46="","",VLOOKUP(登!$D$1,立男!$A$4:$I$100,4,0)+900),IF($D$46="","",VLOOKUP(登!$D$1,立女!$A$4:$I$100,4,0)+900))</f>
        <v/>
      </c>
      <c r="B48" s="176" t="s">
        <v>21</v>
      </c>
      <c r="C48" s="187" t="str">
        <f>IF(D48="","",登!$F$1)</f>
        <v/>
      </c>
      <c r="D48" s="66"/>
      <c r="E48" s="187">
        <v>30</v>
      </c>
      <c r="F48" s="188" t="str">
        <f>IF(D48="","",IF(COUNTIF($D$13:$D$24,"")&gt;0,"団体から入力",IF(COUNTIF($D$31:D48,"")&gt;0,"上から詰めて入力",IF(INT(VALUE(RIGHT(D48,3))/100)=$B$2,VLOOKUP(D48,登!$B$4:$I$103,7,0),"部員番号入力ミス"))))</f>
        <v/>
      </c>
      <c r="G48" s="181" t="str">
        <f>IF(D48="","",IF(INT(VALUE(RIGHT(D48,3))/100)=$B$2,IF(VLOOKUP(D48,登!$B$4:$I$103,2,0)=登!$B$1,1,IF(VLOOKUP(D48,登!$B$4:$I$103,2,0)=登!$B$1-1,2,IF(VLOOKUP(D48,登!$B$4:$I$103,2,0)=登!$B$1-2,3,"学年ミス"))),"番号ミス"))</f>
        <v/>
      </c>
      <c r="H48" s="175" t="str">
        <f t="shared" si="1"/>
        <v/>
      </c>
      <c r="I48" s="502"/>
      <c r="J48" s="503"/>
    </row>
    <row r="49" spans="1:10" ht="12.75" customHeight="1">
      <c r="A49" s="154" t="str">
        <f>IF($B$2=1,IF($D$49="","",VLOOKUP(登!$D$1,立男!$A$4:$I$100,4,0)+1000),IF($D$49="","",VLOOKUP(登!$D$1,立女!$A$4:$I$100,4,0)+1000))</f>
        <v/>
      </c>
      <c r="B49" s="155" t="s">
        <v>21</v>
      </c>
      <c r="C49" s="185" t="str">
        <f>IF(D49="","",登!$F$1)</f>
        <v/>
      </c>
      <c r="D49" s="63"/>
      <c r="E49" s="185">
        <v>31</v>
      </c>
      <c r="F49" s="158" t="str">
        <f>IF(D49="","",IF(COUNTIF($D$13:$D$24,"")&gt;0,"団体から入力",IF(COUNTIF($D$31:D49,"")&gt;0,"上から詰めて入力",IF(INT(VALUE(RIGHT(D49,3))/100)=$B$2,VLOOKUP(D49,登!$B$4:$I$103,7,0),"部員番号入力ミス"))))</f>
        <v/>
      </c>
      <c r="G49" s="159" t="str">
        <f>IF(D49="","",IF(INT(VALUE(RIGHT(D49,3))/100)=$B$2,IF(VLOOKUP(D49,登!$B$4:$I$103,2,0)=登!$B$1,1,IF(VLOOKUP(D49,登!$B$4:$I$103,2,0)=登!$B$1-1,2,IF(VLOOKUP(D49,登!$B$4:$I$103,2,0)=登!$B$1-2,3,"学年ミス"))),"番号ミス"))</f>
        <v/>
      </c>
      <c r="H49" s="154" t="str">
        <f t="shared" si="1"/>
        <v/>
      </c>
      <c r="I49" s="496"/>
      <c r="J49" s="497"/>
    </row>
    <row r="50" spans="1:10" ht="12.75" customHeight="1">
      <c r="A50" s="160" t="str">
        <f>IF($B$2=1,IF($D$49="","",VLOOKUP(登!$D$1,立男!$A$4:$I$100,4,0)+1000),IF($D$49="","",VLOOKUP(登!$D$1,立女!$A$4:$I$100,4,0)+1000))</f>
        <v/>
      </c>
      <c r="B50" s="161" t="s">
        <v>21</v>
      </c>
      <c r="C50" s="186" t="str">
        <f>IF(D50="","",登!$F$1)</f>
        <v/>
      </c>
      <c r="D50" s="64"/>
      <c r="E50" s="186">
        <v>32</v>
      </c>
      <c r="F50" s="164" t="str">
        <f>IF(D50="","",IF(COUNTIF($D$13:$D$24,"")&gt;0,"団体から入力",IF(COUNTIF($D$31:D50,"")&gt;0,"上から詰めて入力",IF(INT(VALUE(RIGHT(D50,3))/100)=$B$2,VLOOKUP(D50,登!$B$4:$I$103,7,0),"部員番号入力ミス"))))</f>
        <v/>
      </c>
      <c r="G50" s="165" t="str">
        <f>IF(D50="","",IF(INT(VALUE(RIGHT(D50,3))/100)=$B$2,IF(VLOOKUP(D50,登!$B$4:$I$103,2,0)=登!$B$1,1,IF(VLOOKUP(D50,登!$B$4:$I$103,2,0)=登!$B$1-1,2,IF(VLOOKUP(D50,登!$B$4:$I$103,2,0)=登!$B$1-2,3,"学年ミス"))),"番号ミス"))</f>
        <v/>
      </c>
      <c r="H50" s="160" t="str">
        <f t="shared" si="1"/>
        <v/>
      </c>
      <c r="I50" s="500"/>
      <c r="J50" s="501"/>
    </row>
    <row r="51" spans="1:10" ht="12.75" customHeight="1">
      <c r="A51" s="175" t="str">
        <f>IF($B$2=1,IF($D$49="","",VLOOKUP(登!$D$1,立男!$A$4:$I$100,4,0)+1000),IF($D$49="","",VLOOKUP(登!$D$1,立女!$A$4:$I$100,4,0)+1000))</f>
        <v/>
      </c>
      <c r="B51" s="176" t="s">
        <v>21</v>
      </c>
      <c r="C51" s="187" t="str">
        <f>IF(D51="","",登!$F$1)</f>
        <v/>
      </c>
      <c r="D51" s="66"/>
      <c r="E51" s="187">
        <v>33</v>
      </c>
      <c r="F51" s="188" t="str">
        <f>IF(D51="","",IF(COUNTIF($D$13:$D$24,"")&gt;0,"団体から入力",IF(COUNTIF($D$31:D51,"")&gt;0,"上から詰めて入力",IF(INT(VALUE(RIGHT(D51,3))/100)=$B$2,VLOOKUP(D51,登!$B$4:$I$103,7,0),"部員番号入力ミス"))))</f>
        <v/>
      </c>
      <c r="G51" s="181" t="str">
        <f>IF(D51="","",IF(INT(VALUE(RIGHT(D51,3))/100)=$B$2,IF(VLOOKUP(D51,登!$B$4:$I$103,2,0)=登!$B$1,1,IF(VLOOKUP(D51,登!$B$4:$I$103,2,0)=登!$B$1-1,2,IF(VLOOKUP(D51,登!$B$4:$I$103,2,0)=登!$B$1-2,3,"学年ミス"))),"番号ミス"))</f>
        <v/>
      </c>
      <c r="H51" s="175" t="str">
        <f t="shared" si="1"/>
        <v/>
      </c>
      <c r="I51" s="502"/>
      <c r="J51" s="503"/>
    </row>
    <row r="52" spans="1:10" ht="12.75" customHeight="1">
      <c r="A52" s="154" t="str">
        <f>IF($B$2=1,IF($D$52="","",VLOOKUP(登!$D$1,立男!$A$4:$I$100,4,0)+1100),IF($D$52="","",VLOOKUP(登!$D$1,立女!$A$4:$I$100,4,0)+1100))</f>
        <v/>
      </c>
      <c r="B52" s="155" t="s">
        <v>21</v>
      </c>
      <c r="C52" s="185" t="str">
        <f>IF(D52="","",登!$F$1)</f>
        <v/>
      </c>
      <c r="D52" s="63"/>
      <c r="E52" s="185">
        <v>34</v>
      </c>
      <c r="F52" s="158" t="str">
        <f>IF(D52="","",IF(COUNTIF($D$13:$D$24,"")&gt;0,"団体から入力",IF(COUNTIF($D$31:D52,"")&gt;0,"上から詰めて入力",IF(INT(VALUE(RIGHT(D52,3))/100)=$B$2,VLOOKUP(D52,登!$B$4:$I$103,7,0),"部員番号入力ミス"))))</f>
        <v/>
      </c>
      <c r="G52" s="159" t="str">
        <f>IF(D52="","",IF(INT(VALUE(RIGHT(D52,3))/100)=$B$2,IF(VLOOKUP(D52,登!$B$4:$I$103,2,0)=登!$B$1,1,IF(VLOOKUP(D52,登!$B$4:$I$103,2,0)=登!$B$1-1,2,IF(VLOOKUP(D52,登!$B$4:$I$103,2,0)=登!$B$1-2,3,"学年ミス"))),"番号ミス"))</f>
        <v/>
      </c>
      <c r="H52" s="154" t="str">
        <f t="shared" si="1"/>
        <v/>
      </c>
      <c r="I52" s="496"/>
      <c r="J52" s="497"/>
    </row>
    <row r="53" spans="1:10" ht="12.75" customHeight="1">
      <c r="A53" s="160" t="str">
        <f>IF($B$2=1,IF($D$52="","",VLOOKUP(登!$D$1,立男!$A$4:$I$100,4,0)+1100),IF($D$52="","",VLOOKUP(登!$D$1,立女!$A$4:$I$100,4,0)+1100))</f>
        <v/>
      </c>
      <c r="B53" s="161" t="s">
        <v>21</v>
      </c>
      <c r="C53" s="186" t="str">
        <f>IF(D53="","",登!$F$1)</f>
        <v/>
      </c>
      <c r="D53" s="64"/>
      <c r="E53" s="186">
        <v>35</v>
      </c>
      <c r="F53" s="164" t="str">
        <f>IF(D53="","",IF(COUNTIF($D$13:$D$24,"")&gt;0,"団体から入力",IF(COUNTIF($D$31:D53,"")&gt;0,"上から詰めて入力",IF(INT(VALUE(RIGHT(D53,3))/100)=$B$2,VLOOKUP(D53,登!$B$4:$I$103,7,0),"部員番号入力ミス"))))</f>
        <v/>
      </c>
      <c r="G53" s="165" t="str">
        <f>IF(D53="","",IF(INT(VALUE(RIGHT(D53,3))/100)=$B$2,IF(VLOOKUP(D53,登!$B$4:$I$103,2,0)=登!$B$1,1,IF(VLOOKUP(D53,登!$B$4:$I$103,2,0)=登!$B$1-1,2,IF(VLOOKUP(D53,登!$B$4:$I$103,2,0)=登!$B$1-2,3,"学年ミス"))),"番号ミス"))</f>
        <v/>
      </c>
      <c r="H53" s="160" t="str">
        <f t="shared" si="1"/>
        <v/>
      </c>
      <c r="I53" s="500"/>
      <c r="J53" s="501"/>
    </row>
    <row r="54" spans="1:10" ht="12.75" customHeight="1">
      <c r="A54" s="175" t="str">
        <f>IF($B$2=1,IF($D$52="","",VLOOKUP(登!$D$1,立男!$A$4:$I$100,4,0)+1100),IF($D$52="","",VLOOKUP(登!$D$1,立女!$A$4:$I$100,4,0)+1100))</f>
        <v/>
      </c>
      <c r="B54" s="176" t="s">
        <v>21</v>
      </c>
      <c r="C54" s="187" t="str">
        <f>IF(D54="","",登!$F$1)</f>
        <v/>
      </c>
      <c r="D54" s="66"/>
      <c r="E54" s="187">
        <v>36</v>
      </c>
      <c r="F54" s="188" t="str">
        <f>IF(D54="","",IF(COUNTIF($D$13:$D$24,"")&gt;0,"団体から入力",IF(COUNTIF($D$31:D54,"")&gt;0,"上から詰めて入力",IF(INT(VALUE(RIGHT(D54,3))/100)=$B$2,VLOOKUP(D54,登!$B$4:$I$103,7,0),"部員番号入力ミス"))))</f>
        <v/>
      </c>
      <c r="G54" s="181" t="str">
        <f>IF(D54="","",IF(INT(VALUE(RIGHT(D54,3))/100)=$B$2,IF(VLOOKUP(D54,登!$B$4:$I$103,2,0)=登!$B$1,1,IF(VLOOKUP(D54,登!$B$4:$I$103,2,0)=登!$B$1-1,2,IF(VLOOKUP(D54,登!$B$4:$I$103,2,0)=登!$B$1-2,3,"学年ミス"))),"番号ミス"))</f>
        <v/>
      </c>
      <c r="H54" s="175" t="str">
        <f t="shared" si="1"/>
        <v/>
      </c>
      <c r="I54" s="502"/>
      <c r="J54" s="503"/>
    </row>
    <row r="55" spans="1:10" ht="12.75" customHeight="1">
      <c r="A55" s="154" t="str">
        <f>IF($B$2=1,IF($D$55="","",VLOOKUP(登!$D$1,立男!$A$4:$I$100,4,0)+1200),IF($D$55="","",VLOOKUP(登!$D$1,立女!$A$4:$I$100,4,0)+1200))</f>
        <v/>
      </c>
      <c r="B55" s="155" t="s">
        <v>21</v>
      </c>
      <c r="C55" s="185" t="str">
        <f>IF(D55="","",登!$F$1)</f>
        <v/>
      </c>
      <c r="D55" s="63"/>
      <c r="E55" s="185">
        <v>37</v>
      </c>
      <c r="F55" s="158" t="str">
        <f>IF(D55="","",IF(COUNTIF($D$13:$D$24,"")&gt;0,"団体から入力",IF(COUNTIF($D$31:D55,"")&gt;0,"上から詰めて入力",IF(INT(VALUE(RIGHT(D55,3))/100)=$B$2,VLOOKUP(D55,登!$B$4:$I$103,7,0),"部員番号入力ミス"))))</f>
        <v/>
      </c>
      <c r="G55" s="159" t="str">
        <f>IF(D55="","",IF(INT(VALUE(RIGHT(D55,3))/100)=$B$2,IF(VLOOKUP(D55,登!$B$4:$I$103,2,0)=登!$B$1,1,IF(VLOOKUP(D55,登!$B$4:$I$103,2,0)=登!$B$1-1,2,IF(VLOOKUP(D55,登!$B$4:$I$103,2,0)=登!$B$1-2,3,"学年ミス"))),"番号ミス"))</f>
        <v/>
      </c>
      <c r="H55" s="154" t="str">
        <f t="shared" si="1"/>
        <v/>
      </c>
      <c r="I55" s="496"/>
      <c r="J55" s="497"/>
    </row>
    <row r="56" spans="1:10" ht="12.75" customHeight="1">
      <c r="A56" s="160" t="str">
        <f>IF($B$2=1,IF($D$55="","",VLOOKUP(登!$D$1,立男!$A$4:$I$100,4,0)+1200),IF($D$55="","",VLOOKUP(登!$D$1,立女!$A$4:$I$100,4,0)+1200))</f>
        <v/>
      </c>
      <c r="B56" s="161" t="s">
        <v>21</v>
      </c>
      <c r="C56" s="186" t="str">
        <f>IF(D56="","",登!$F$1)</f>
        <v/>
      </c>
      <c r="D56" s="64"/>
      <c r="E56" s="186">
        <v>38</v>
      </c>
      <c r="F56" s="164" t="str">
        <f>IF(D56="","",IF(COUNTIF($D$13:$D$24,"")&gt;0,"団体から入力",IF(COUNTIF($D$31:D56,"")&gt;0,"上から詰めて入力",IF(INT(VALUE(RIGHT(D56,3))/100)=$B$2,VLOOKUP(D56,登!$B$4:$I$103,7,0),"部員番号入力ミス"))))</f>
        <v/>
      </c>
      <c r="G56" s="165" t="str">
        <f>IF(D56="","",IF(INT(VALUE(RIGHT(D56,3))/100)=$B$2,IF(VLOOKUP(D56,登!$B$4:$I$103,2,0)=登!$B$1,1,IF(VLOOKUP(D56,登!$B$4:$I$103,2,0)=登!$B$1-1,2,IF(VLOOKUP(D56,登!$B$4:$I$103,2,0)=登!$B$1-2,3,"学年ミス"))),"番号ミス"))</f>
        <v/>
      </c>
      <c r="H56" s="160" t="str">
        <f t="shared" si="1"/>
        <v/>
      </c>
      <c r="I56" s="500"/>
      <c r="J56" s="501"/>
    </row>
    <row r="57" spans="1:10" ht="12.75" customHeight="1">
      <c r="A57" s="175" t="str">
        <f>IF($B$2=1,IF($D$55="","",VLOOKUP(登!$D$1,立男!$A$4:$I$100,4,0)+1200),IF($D$55="","",VLOOKUP(登!$D$1,立女!$A$4:$I$100,4,0)+1200))</f>
        <v/>
      </c>
      <c r="B57" s="176" t="s">
        <v>21</v>
      </c>
      <c r="C57" s="187" t="str">
        <f>IF(D57="","",登!$F$1)</f>
        <v/>
      </c>
      <c r="D57" s="66"/>
      <c r="E57" s="187">
        <v>39</v>
      </c>
      <c r="F57" s="188" t="str">
        <f>IF(D57="","",IF(COUNTIF($D$13:$D$24,"")&gt;0,"団体から入力",IF(COUNTIF($D$31:D57,"")&gt;0,"上から詰めて入力",IF(INT(VALUE(RIGHT(D57,3))/100)=$B$2,VLOOKUP(D57,登!$B$4:$I$103,7,0),"部員番号入力ミス"))))</f>
        <v/>
      </c>
      <c r="G57" s="181" t="str">
        <f>IF(D57="","",IF(INT(VALUE(RIGHT(D57,3))/100)=$B$2,IF(VLOOKUP(D57,登!$B$4:$I$103,2,0)=登!$B$1,1,IF(VLOOKUP(D57,登!$B$4:$I$103,2,0)=登!$B$1-1,2,IF(VLOOKUP(D57,登!$B$4:$I$103,2,0)=登!$B$1-2,3,"学年ミス"))),"番号ミス"))</f>
        <v/>
      </c>
      <c r="H57" s="175" t="str">
        <f t="shared" si="1"/>
        <v/>
      </c>
      <c r="I57" s="502"/>
      <c r="J57" s="503"/>
    </row>
    <row r="58" spans="1:10" ht="5.25" customHeight="1"/>
    <row r="59" spans="1:10" s="75" customFormat="1" ht="12.75" customHeight="1">
      <c r="A59" s="410" t="s">
        <v>406</v>
      </c>
      <c r="B59" s="410"/>
      <c r="C59" s="410"/>
      <c r="D59" s="410"/>
      <c r="E59" s="407">
        <f>D7</f>
        <v>43734</v>
      </c>
      <c r="F59" s="408"/>
    </row>
    <row r="60" spans="1:10" s="75" customFormat="1" ht="12.75" customHeight="1">
      <c r="A60" s="344"/>
      <c r="B60" s="344"/>
      <c r="C60" s="344"/>
      <c r="D60" s="344"/>
      <c r="E60" s="189"/>
      <c r="F60" s="189"/>
    </row>
    <row r="61" spans="1:10" s="75" customFormat="1" ht="12.75" customHeight="1">
      <c r="A61" s="344"/>
      <c r="B61" s="344"/>
      <c r="C61" s="344"/>
      <c r="D61" s="344"/>
    </row>
    <row r="62" spans="1:10" s="75" customFormat="1" ht="12.75" customHeight="1">
      <c r="A62" s="189" t="s">
        <v>507</v>
      </c>
      <c r="B62" s="409" t="str">
        <f>IF(登!$D$1="",""," "&amp;VLOOKUP(登!$D$1,名!$G$2:$J$54,3,0))</f>
        <v/>
      </c>
      <c r="C62" s="409"/>
      <c r="D62" s="409"/>
      <c r="E62" s="189" t="s">
        <v>199</v>
      </c>
      <c r="F62" s="241" t="s">
        <v>529</v>
      </c>
      <c r="G62" s="352" t="s">
        <v>511</v>
      </c>
    </row>
    <row r="63" spans="1:10" s="75" customFormat="1" ht="12.75" customHeight="1">
      <c r="H63" s="74"/>
    </row>
    <row r="64" spans="1:10" s="75" customFormat="1" ht="12.75" customHeight="1">
      <c r="H64" s="74"/>
    </row>
    <row r="65" spans="1:11" s="75" customFormat="1" ht="12.75" customHeight="1">
      <c r="A65" s="189" t="s">
        <v>510</v>
      </c>
      <c r="B65" s="409" t="str">
        <f>IF(登!$D$1="",""," "&amp;VLOOKUP(登!$D$1,名!$G$2:$J$54,4,0))</f>
        <v/>
      </c>
      <c r="C65" s="409"/>
      <c r="D65" s="409"/>
      <c r="E65" s="189" t="s">
        <v>509</v>
      </c>
      <c r="F65" s="241" t="s">
        <v>530</v>
      </c>
      <c r="G65" s="352" t="s">
        <v>511</v>
      </c>
      <c r="H65" s="74"/>
      <c r="K65" s="190"/>
    </row>
    <row r="66" spans="1:11" ht="5.25" customHeight="1"/>
    <row r="67" spans="1:11" ht="5.25" customHeight="1"/>
    <row r="68" spans="1:11" s="191" customFormat="1" ht="22.5" customHeight="1">
      <c r="B68" s="346">
        <f>B2</f>
        <v>1</v>
      </c>
      <c r="C68" s="398" t="str">
        <f>C2</f>
        <v>令和元年度県高校弓道地区大会（北毛･中毛･東毛）</v>
      </c>
      <c r="D68" s="399"/>
      <c r="E68" s="399"/>
      <c r="F68" s="399"/>
      <c r="G68" s="400"/>
      <c r="H68" s="192"/>
    </row>
    <row r="69" spans="1:11" s="191" customFormat="1" ht="12.75" customHeight="1">
      <c r="B69" s="193"/>
      <c r="C69" s="193"/>
      <c r="D69" s="194"/>
      <c r="E69" s="194"/>
      <c r="F69" s="194"/>
      <c r="G69" s="195"/>
      <c r="H69" s="192"/>
    </row>
    <row r="70" spans="1:11" s="191" customFormat="1" ht="12.75" customHeight="1">
      <c r="B70" s="401" t="s">
        <v>11</v>
      </c>
      <c r="C70" s="401"/>
      <c r="D70" s="402" t="str">
        <f>D4</f>
        <v>○　○　○　○</v>
      </c>
      <c r="E70" s="403"/>
      <c r="F70" s="404"/>
      <c r="G70" s="314"/>
      <c r="H70" s="246"/>
    </row>
    <row r="71" spans="1:11" s="191" customFormat="1" ht="12.75" customHeight="1">
      <c r="B71" s="193"/>
      <c r="C71" s="193"/>
      <c r="D71" s="194"/>
      <c r="E71" s="194"/>
      <c r="F71" s="194"/>
      <c r="G71" s="194"/>
      <c r="H71" s="192"/>
    </row>
    <row r="72" spans="1:11" s="191" customFormat="1" ht="12.75" customHeight="1">
      <c r="B72" s="388" t="s">
        <v>39</v>
      </c>
      <c r="C72" s="388"/>
      <c r="D72" s="397">
        <f>D6</f>
        <v>11</v>
      </c>
      <c r="E72" s="397"/>
      <c r="F72" s="397"/>
      <c r="G72" s="397"/>
      <c r="H72" s="192"/>
      <c r="I72" s="197"/>
    </row>
    <row r="73" spans="1:11" s="191" customFormat="1" ht="12.75" customHeight="1">
      <c r="B73" s="388" t="s">
        <v>40</v>
      </c>
      <c r="C73" s="388"/>
      <c r="D73" s="389">
        <f>D7</f>
        <v>43734</v>
      </c>
      <c r="E73" s="390"/>
      <c r="F73" s="391" t="str">
        <f>F7</f>
        <v>木曜日　１６時</v>
      </c>
      <c r="G73" s="392"/>
      <c r="H73" s="192"/>
      <c r="I73" s="197"/>
    </row>
    <row r="74" spans="1:11" s="191" customFormat="1" ht="12.75" customHeight="1">
      <c r="B74" s="388" t="s">
        <v>38</v>
      </c>
      <c r="C74" s="388"/>
      <c r="D74" s="389">
        <f>D8</f>
        <v>43743</v>
      </c>
      <c r="E74" s="390"/>
      <c r="F74" s="391" t="str">
        <f>F8</f>
        <v>土曜日</v>
      </c>
      <c r="G74" s="392"/>
      <c r="H74" s="192"/>
      <c r="I74" s="197"/>
    </row>
    <row r="75" spans="1:11" s="191" customFormat="1" ht="12.75" customHeight="1">
      <c r="B75" s="388" t="s">
        <v>41</v>
      </c>
      <c r="C75" s="388"/>
      <c r="D75" s="393" t="s">
        <v>52</v>
      </c>
      <c r="E75" s="454"/>
      <c r="F75" s="454"/>
      <c r="G75" s="394"/>
      <c r="H75" s="192"/>
      <c r="I75" s="197"/>
    </row>
    <row r="76" spans="1:11" s="191" customFormat="1" ht="12.75" customHeight="1">
      <c r="B76" s="197" t="s">
        <v>62</v>
      </c>
      <c r="C76" s="197"/>
      <c r="D76" s="195"/>
      <c r="E76" s="195"/>
      <c r="F76" s="195"/>
      <c r="G76" s="195"/>
      <c r="H76" s="192"/>
      <c r="I76" s="197"/>
    </row>
    <row r="77" spans="1:11" s="191" customFormat="1" ht="22.5" customHeight="1">
      <c r="B77" s="384" t="str">
        <f>B11</f>
        <v>男　子　団　体　参　加　申　込　書</v>
      </c>
      <c r="C77" s="384"/>
      <c r="D77" s="384"/>
      <c r="E77" s="384"/>
      <c r="F77" s="384"/>
      <c r="G77" s="384"/>
      <c r="H77" s="192"/>
      <c r="I77" s="455" t="s">
        <v>53</v>
      </c>
      <c r="J77" s="456"/>
    </row>
    <row r="78" spans="1:11" s="191" customFormat="1" ht="12.75" customHeight="1">
      <c r="A78" s="346" t="str">
        <f>IF(A12="","",A12)</f>
        <v>立順</v>
      </c>
      <c r="B78" s="198" t="str">
        <f t="shared" ref="B78:J79" si="2">IF(B12="","",B12)</f>
        <v>チーム</v>
      </c>
      <c r="C78" s="199" t="str">
        <f t="shared" si="2"/>
        <v>校　名</v>
      </c>
      <c r="D78" s="200" t="str">
        <f t="shared" si="2"/>
        <v>登録番号</v>
      </c>
      <c r="E78" s="201" t="str">
        <f t="shared" si="2"/>
        <v>立　順</v>
      </c>
      <c r="F78" s="202" t="str">
        <f t="shared" si="2"/>
        <v>選　　手　　名</v>
      </c>
      <c r="G78" s="203" t="str">
        <f t="shared" si="2"/>
        <v>学　年</v>
      </c>
      <c r="H78" s="346" t="str">
        <f t="shared" si="2"/>
        <v>重複ﾁｪｯｸ</v>
      </c>
      <c r="I78" s="346" t="str">
        <f t="shared" si="2"/>
        <v>ありなし</v>
      </c>
      <c r="J78" s="346" t="str">
        <f t="shared" si="2"/>
        <v>だぶる立順</v>
      </c>
    </row>
    <row r="79" spans="1:11" s="191" customFormat="1" ht="12.75" customHeight="1">
      <c r="A79" s="204" t="str">
        <f>IF(A13="","",A13)</f>
        <v/>
      </c>
      <c r="B79" s="205" t="str">
        <f t="shared" si="2"/>
        <v>Ａ</v>
      </c>
      <c r="C79" s="206" t="str">
        <f t="shared" si="2"/>
        <v/>
      </c>
      <c r="D79" s="139" t="str">
        <f t="shared" si="2"/>
        <v/>
      </c>
      <c r="E79" s="207">
        <f t="shared" si="2"/>
        <v>1</v>
      </c>
      <c r="F79" s="208" t="str">
        <f t="shared" si="2"/>
        <v/>
      </c>
      <c r="G79" s="209" t="str">
        <f t="shared" si="2"/>
        <v/>
      </c>
      <c r="H79" s="204" t="str">
        <f t="shared" si="2"/>
        <v/>
      </c>
      <c r="I79" s="315" t="str">
        <f t="shared" si="2"/>
        <v/>
      </c>
      <c r="J79" s="316" t="str">
        <f t="shared" si="2"/>
        <v/>
      </c>
    </row>
    <row r="80" spans="1:11" s="191" customFormat="1" ht="12.75" customHeight="1">
      <c r="A80" s="317" t="str">
        <f t="shared" ref="A80:J80" si="3">IF(A14="","",A14)</f>
        <v/>
      </c>
      <c r="B80" s="318" t="str">
        <f t="shared" si="3"/>
        <v>Ａ</v>
      </c>
      <c r="C80" s="319" t="str">
        <f t="shared" si="3"/>
        <v/>
      </c>
      <c r="D80" s="320" t="str">
        <f t="shared" si="3"/>
        <v/>
      </c>
      <c r="E80" s="321">
        <f t="shared" si="3"/>
        <v>2</v>
      </c>
      <c r="F80" s="322" t="str">
        <f t="shared" si="3"/>
        <v/>
      </c>
      <c r="G80" s="323" t="str">
        <f t="shared" si="3"/>
        <v/>
      </c>
      <c r="H80" s="317" t="str">
        <f t="shared" si="3"/>
        <v/>
      </c>
      <c r="I80" s="324" t="str">
        <f t="shared" si="3"/>
        <v/>
      </c>
      <c r="J80" s="325" t="str">
        <f t="shared" si="3"/>
        <v/>
      </c>
    </row>
    <row r="81" spans="1:10" s="191" customFormat="1" ht="12.75" customHeight="1">
      <c r="A81" s="210" t="str">
        <f t="shared" ref="A81:J81" si="4">IF(A15="","",A15)</f>
        <v/>
      </c>
      <c r="B81" s="211" t="str">
        <f t="shared" si="4"/>
        <v>Ａ</v>
      </c>
      <c r="C81" s="212" t="str">
        <f t="shared" si="4"/>
        <v/>
      </c>
      <c r="D81" s="140" t="str">
        <f t="shared" si="4"/>
        <v/>
      </c>
      <c r="E81" s="213">
        <f t="shared" si="4"/>
        <v>3</v>
      </c>
      <c r="F81" s="214" t="str">
        <f t="shared" si="4"/>
        <v/>
      </c>
      <c r="G81" s="215" t="str">
        <f t="shared" si="4"/>
        <v/>
      </c>
      <c r="H81" s="210" t="str">
        <f t="shared" si="4"/>
        <v/>
      </c>
      <c r="I81" s="326" t="str">
        <f t="shared" si="4"/>
        <v/>
      </c>
      <c r="J81" s="327" t="str">
        <f t="shared" si="4"/>
        <v/>
      </c>
    </row>
    <row r="82" spans="1:10" s="191" customFormat="1" ht="12.75" customHeight="1">
      <c r="A82" s="225" t="str">
        <f t="shared" ref="A82:J82" si="5">IF(A16="","",A16)</f>
        <v/>
      </c>
      <c r="B82" s="226" t="str">
        <f t="shared" si="5"/>
        <v>Ａ</v>
      </c>
      <c r="C82" s="227" t="str">
        <f t="shared" si="5"/>
        <v/>
      </c>
      <c r="D82" s="141" t="str">
        <f t="shared" si="5"/>
        <v/>
      </c>
      <c r="E82" s="228">
        <f t="shared" si="5"/>
        <v>4</v>
      </c>
      <c r="F82" s="237" t="str">
        <f t="shared" si="5"/>
        <v/>
      </c>
      <c r="G82" s="230" t="str">
        <f t="shared" si="5"/>
        <v/>
      </c>
      <c r="H82" s="225" t="str">
        <f t="shared" si="5"/>
        <v/>
      </c>
      <c r="I82" s="328" t="str">
        <f t="shared" si="5"/>
        <v/>
      </c>
      <c r="J82" s="329" t="str">
        <f t="shared" si="5"/>
        <v/>
      </c>
    </row>
    <row r="83" spans="1:10" s="191" customFormat="1" ht="12.75" customHeight="1">
      <c r="A83" s="204" t="str">
        <f t="shared" ref="A83:J83" si="6">IF(A17="","",A17)</f>
        <v/>
      </c>
      <c r="B83" s="205" t="str">
        <f t="shared" si="6"/>
        <v>Ｂ</v>
      </c>
      <c r="C83" s="206" t="str">
        <f t="shared" si="6"/>
        <v/>
      </c>
      <c r="D83" s="139" t="str">
        <f t="shared" si="6"/>
        <v/>
      </c>
      <c r="E83" s="207">
        <f t="shared" si="6"/>
        <v>5</v>
      </c>
      <c r="F83" s="208" t="str">
        <f t="shared" si="6"/>
        <v/>
      </c>
      <c r="G83" s="209" t="str">
        <f t="shared" si="6"/>
        <v/>
      </c>
      <c r="H83" s="204" t="str">
        <f t="shared" si="6"/>
        <v/>
      </c>
      <c r="I83" s="315" t="str">
        <f t="shared" si="6"/>
        <v/>
      </c>
      <c r="J83" s="316" t="str">
        <f t="shared" si="6"/>
        <v/>
      </c>
    </row>
    <row r="84" spans="1:10" s="191" customFormat="1" ht="12.75" customHeight="1">
      <c r="A84" s="317" t="str">
        <f t="shared" ref="A84:J84" si="7">IF(A18="","",A18)</f>
        <v/>
      </c>
      <c r="B84" s="318" t="str">
        <f t="shared" si="7"/>
        <v>Ｂ</v>
      </c>
      <c r="C84" s="319" t="str">
        <f t="shared" si="7"/>
        <v/>
      </c>
      <c r="D84" s="320" t="str">
        <f t="shared" si="7"/>
        <v/>
      </c>
      <c r="E84" s="321">
        <f t="shared" si="7"/>
        <v>6</v>
      </c>
      <c r="F84" s="322" t="str">
        <f t="shared" si="7"/>
        <v/>
      </c>
      <c r="G84" s="323" t="str">
        <f t="shared" si="7"/>
        <v/>
      </c>
      <c r="H84" s="317" t="str">
        <f t="shared" si="7"/>
        <v/>
      </c>
      <c r="I84" s="324" t="str">
        <f t="shared" si="7"/>
        <v/>
      </c>
      <c r="J84" s="325" t="str">
        <f t="shared" si="7"/>
        <v/>
      </c>
    </row>
    <row r="85" spans="1:10" s="191" customFormat="1" ht="12.75" customHeight="1">
      <c r="A85" s="210" t="str">
        <f t="shared" ref="A85:J85" si="8">IF(A19="","",A19)</f>
        <v/>
      </c>
      <c r="B85" s="211" t="str">
        <f t="shared" si="8"/>
        <v>Ｂ</v>
      </c>
      <c r="C85" s="212" t="str">
        <f t="shared" si="8"/>
        <v/>
      </c>
      <c r="D85" s="140" t="str">
        <f t="shared" si="8"/>
        <v/>
      </c>
      <c r="E85" s="213">
        <f t="shared" si="8"/>
        <v>7</v>
      </c>
      <c r="F85" s="214" t="str">
        <f t="shared" si="8"/>
        <v/>
      </c>
      <c r="G85" s="215" t="str">
        <f t="shared" si="8"/>
        <v/>
      </c>
      <c r="H85" s="210" t="str">
        <f t="shared" si="8"/>
        <v/>
      </c>
      <c r="I85" s="326" t="str">
        <f t="shared" si="8"/>
        <v/>
      </c>
      <c r="J85" s="327" t="str">
        <f t="shared" si="8"/>
        <v/>
      </c>
    </row>
    <row r="86" spans="1:10" s="191" customFormat="1" ht="12.75" customHeight="1">
      <c r="A86" s="225" t="str">
        <f t="shared" ref="A86:J86" si="9">IF(A20="","",A20)</f>
        <v/>
      </c>
      <c r="B86" s="226" t="str">
        <f t="shared" si="9"/>
        <v>Ｂ</v>
      </c>
      <c r="C86" s="227" t="str">
        <f t="shared" si="9"/>
        <v/>
      </c>
      <c r="D86" s="141" t="str">
        <f t="shared" si="9"/>
        <v/>
      </c>
      <c r="E86" s="228">
        <f t="shared" si="9"/>
        <v>8</v>
      </c>
      <c r="F86" s="237" t="str">
        <f t="shared" si="9"/>
        <v/>
      </c>
      <c r="G86" s="230" t="str">
        <f t="shared" si="9"/>
        <v/>
      </c>
      <c r="H86" s="225" t="str">
        <f t="shared" si="9"/>
        <v/>
      </c>
      <c r="I86" s="328" t="str">
        <f t="shared" si="9"/>
        <v/>
      </c>
      <c r="J86" s="329" t="str">
        <f t="shared" si="9"/>
        <v/>
      </c>
    </row>
    <row r="87" spans="1:10" s="191" customFormat="1" ht="12.75" customHeight="1">
      <c r="A87" s="204" t="str">
        <f t="shared" ref="A87:J87" si="10">IF(A21="","",A21)</f>
        <v/>
      </c>
      <c r="B87" s="205" t="str">
        <f t="shared" si="10"/>
        <v>Ｃ</v>
      </c>
      <c r="C87" s="206" t="str">
        <f t="shared" si="10"/>
        <v/>
      </c>
      <c r="D87" s="139" t="str">
        <f t="shared" si="10"/>
        <v/>
      </c>
      <c r="E87" s="207">
        <f t="shared" si="10"/>
        <v>9</v>
      </c>
      <c r="F87" s="208" t="str">
        <f t="shared" si="10"/>
        <v/>
      </c>
      <c r="G87" s="209" t="str">
        <f t="shared" si="10"/>
        <v/>
      </c>
      <c r="H87" s="204" t="str">
        <f t="shared" si="10"/>
        <v/>
      </c>
      <c r="I87" s="315" t="str">
        <f t="shared" si="10"/>
        <v/>
      </c>
      <c r="J87" s="316" t="str">
        <f t="shared" si="10"/>
        <v/>
      </c>
    </row>
    <row r="88" spans="1:10" s="191" customFormat="1" ht="12.75" customHeight="1">
      <c r="A88" s="317" t="str">
        <f t="shared" ref="A88:J88" si="11">IF(A22="","",A22)</f>
        <v/>
      </c>
      <c r="B88" s="318" t="str">
        <f t="shared" si="11"/>
        <v>Ｃ</v>
      </c>
      <c r="C88" s="319" t="str">
        <f t="shared" si="11"/>
        <v/>
      </c>
      <c r="D88" s="320" t="str">
        <f t="shared" si="11"/>
        <v/>
      </c>
      <c r="E88" s="321">
        <f t="shared" si="11"/>
        <v>10</v>
      </c>
      <c r="F88" s="322" t="str">
        <f t="shared" si="11"/>
        <v/>
      </c>
      <c r="G88" s="323" t="str">
        <f t="shared" si="11"/>
        <v/>
      </c>
      <c r="H88" s="317" t="str">
        <f t="shared" si="11"/>
        <v/>
      </c>
      <c r="I88" s="324" t="str">
        <f t="shared" si="11"/>
        <v/>
      </c>
      <c r="J88" s="325" t="str">
        <f t="shared" si="11"/>
        <v/>
      </c>
    </row>
    <row r="89" spans="1:10" s="191" customFormat="1" ht="12.75" customHeight="1">
      <c r="A89" s="210" t="str">
        <f t="shared" ref="A89:J89" si="12">IF(A23="","",A23)</f>
        <v/>
      </c>
      <c r="B89" s="211" t="str">
        <f t="shared" si="12"/>
        <v>Ｃ</v>
      </c>
      <c r="C89" s="212" t="str">
        <f t="shared" si="12"/>
        <v/>
      </c>
      <c r="D89" s="140" t="str">
        <f t="shared" si="12"/>
        <v/>
      </c>
      <c r="E89" s="213">
        <f t="shared" si="12"/>
        <v>11</v>
      </c>
      <c r="F89" s="214" t="str">
        <f t="shared" si="12"/>
        <v/>
      </c>
      <c r="G89" s="215" t="str">
        <f t="shared" si="12"/>
        <v/>
      </c>
      <c r="H89" s="210" t="str">
        <f t="shared" si="12"/>
        <v/>
      </c>
      <c r="I89" s="326" t="str">
        <f t="shared" si="12"/>
        <v/>
      </c>
      <c r="J89" s="327" t="str">
        <f t="shared" si="12"/>
        <v/>
      </c>
    </row>
    <row r="90" spans="1:10" s="191" customFormat="1" ht="12.75" customHeight="1">
      <c r="A90" s="225" t="str">
        <f t="shared" ref="A90:J90" si="13">IF(A24="","",A24)</f>
        <v/>
      </c>
      <c r="B90" s="226" t="str">
        <f t="shared" si="13"/>
        <v>Ｃ</v>
      </c>
      <c r="C90" s="227" t="str">
        <f t="shared" si="13"/>
        <v/>
      </c>
      <c r="D90" s="141" t="str">
        <f t="shared" si="13"/>
        <v/>
      </c>
      <c r="E90" s="228">
        <f t="shared" si="13"/>
        <v>12</v>
      </c>
      <c r="F90" s="237" t="str">
        <f t="shared" si="13"/>
        <v/>
      </c>
      <c r="G90" s="230" t="str">
        <f t="shared" si="13"/>
        <v/>
      </c>
      <c r="H90" s="225" t="str">
        <f t="shared" si="13"/>
        <v/>
      </c>
      <c r="I90" s="328" t="str">
        <f t="shared" si="13"/>
        <v/>
      </c>
      <c r="J90" s="329" t="str">
        <f t="shared" si="13"/>
        <v/>
      </c>
    </row>
    <row r="91" spans="1:10" s="191" customFormat="1" ht="12.75" customHeight="1">
      <c r="A91" s="204" t="str">
        <f t="shared" ref="A91:J91" si="14">IF(A25="","",A25)</f>
        <v/>
      </c>
      <c r="B91" s="205" t="str">
        <f t="shared" si="14"/>
        <v>Ａ</v>
      </c>
      <c r="C91" s="206" t="str">
        <f t="shared" si="14"/>
        <v/>
      </c>
      <c r="D91" s="139" t="str">
        <f t="shared" si="14"/>
        <v/>
      </c>
      <c r="E91" s="207">
        <f t="shared" si="14"/>
        <v>4</v>
      </c>
      <c r="F91" s="223" t="str">
        <f t="shared" si="14"/>
        <v/>
      </c>
      <c r="G91" s="209" t="str">
        <f t="shared" si="14"/>
        <v/>
      </c>
      <c r="H91" s="224" t="str">
        <f t="shared" si="14"/>
        <v/>
      </c>
      <c r="I91" s="316" t="str">
        <f t="shared" si="14"/>
        <v/>
      </c>
      <c r="J91" s="330" t="str">
        <f t="shared" si="14"/>
        <v/>
      </c>
    </row>
    <row r="92" spans="1:10" s="191" customFormat="1" ht="12.75" customHeight="1">
      <c r="A92" s="210" t="str">
        <f t="shared" ref="A92:J92" si="15">IF(A26="","",A26)</f>
        <v/>
      </c>
      <c r="B92" s="211" t="str">
        <f t="shared" si="15"/>
        <v>Ｂ</v>
      </c>
      <c r="C92" s="212" t="str">
        <f t="shared" si="15"/>
        <v/>
      </c>
      <c r="D92" s="140" t="str">
        <f t="shared" si="15"/>
        <v/>
      </c>
      <c r="E92" s="213">
        <f t="shared" si="15"/>
        <v>8</v>
      </c>
      <c r="F92" s="337" t="str">
        <f t="shared" si="15"/>
        <v/>
      </c>
      <c r="G92" s="215" t="str">
        <f t="shared" si="15"/>
        <v/>
      </c>
      <c r="H92" s="338" t="str">
        <f t="shared" si="15"/>
        <v/>
      </c>
      <c r="I92" s="327" t="str">
        <f t="shared" si="15"/>
        <v/>
      </c>
      <c r="J92" s="339" t="str">
        <f t="shared" si="15"/>
        <v/>
      </c>
    </row>
    <row r="93" spans="1:10" s="191" customFormat="1" ht="12.75" customHeight="1">
      <c r="A93" s="225" t="str">
        <f t="shared" ref="A93:J93" si="16">IF(A27="","",A27)</f>
        <v/>
      </c>
      <c r="B93" s="226" t="str">
        <f t="shared" si="16"/>
        <v>Ｃ</v>
      </c>
      <c r="C93" s="227" t="str">
        <f t="shared" si="16"/>
        <v/>
      </c>
      <c r="D93" s="141" t="str">
        <f t="shared" si="16"/>
        <v/>
      </c>
      <c r="E93" s="228">
        <f t="shared" si="16"/>
        <v>12</v>
      </c>
      <c r="F93" s="229" t="str">
        <f t="shared" si="16"/>
        <v/>
      </c>
      <c r="G93" s="230" t="str">
        <f t="shared" si="16"/>
        <v/>
      </c>
      <c r="H93" s="231" t="str">
        <f t="shared" si="16"/>
        <v/>
      </c>
      <c r="I93" s="329" t="str">
        <f t="shared" si="16"/>
        <v/>
      </c>
      <c r="J93" s="331" t="str">
        <f t="shared" si="16"/>
        <v/>
      </c>
    </row>
    <row r="94" spans="1:10" s="191" customFormat="1" ht="12.75" customHeight="1">
      <c r="B94" s="232" t="str">
        <f>B28</f>
        <v>（４はＡチーム補欠、８はＢチーム補欠、１２はＣチーム補欠です）</v>
      </c>
      <c r="C94" s="233"/>
      <c r="D94" s="233"/>
      <c r="E94" s="233"/>
      <c r="F94" s="233"/>
      <c r="G94" s="233"/>
      <c r="H94" s="192"/>
    </row>
    <row r="95" spans="1:10" s="191" customFormat="1" ht="22.5" customHeight="1">
      <c r="B95" s="384" t="str">
        <f>B29</f>
        <v>男　子　個　人　参　加　申　込　書</v>
      </c>
      <c r="C95" s="384"/>
      <c r="D95" s="384"/>
      <c r="E95" s="384"/>
      <c r="F95" s="384"/>
      <c r="G95" s="384"/>
      <c r="H95" s="192"/>
      <c r="I95" s="455" t="s">
        <v>53</v>
      </c>
      <c r="J95" s="456"/>
    </row>
    <row r="96" spans="1:10" s="191" customFormat="1" ht="12.75" customHeight="1">
      <c r="A96" s="346" t="str">
        <f>IF(A30="","",A30)</f>
        <v>立順</v>
      </c>
      <c r="B96" s="198" t="str">
        <f t="shared" ref="B96:J96" si="17">IF(B30="","",B30)</f>
        <v>チーム</v>
      </c>
      <c r="C96" s="202" t="str">
        <f t="shared" si="17"/>
        <v>校　名</v>
      </c>
      <c r="D96" s="200" t="str">
        <f t="shared" si="17"/>
        <v>登録番号</v>
      </c>
      <c r="E96" s="202" t="str">
        <f t="shared" si="17"/>
        <v>立　順</v>
      </c>
      <c r="F96" s="202" t="str">
        <f t="shared" si="17"/>
        <v>選　　手　　名</v>
      </c>
      <c r="G96" s="203" t="str">
        <f t="shared" si="17"/>
        <v>学　年</v>
      </c>
      <c r="H96" s="346" t="str">
        <f t="shared" si="17"/>
        <v>重複ﾁｪｯｸ</v>
      </c>
      <c r="I96" s="346" t="str">
        <f t="shared" si="17"/>
        <v>ありなし</v>
      </c>
      <c r="J96" s="346" t="str">
        <f t="shared" si="17"/>
        <v>だぶる立順</v>
      </c>
    </row>
    <row r="97" spans="1:12" s="191" customFormat="1" ht="12.75" customHeight="1">
      <c r="A97" s="204" t="str">
        <f t="shared" ref="A97:J97" si="18">IF(A31="","",A31)</f>
        <v/>
      </c>
      <c r="B97" s="205" t="str">
        <f t="shared" si="18"/>
        <v>個</v>
      </c>
      <c r="C97" s="234" t="str">
        <f t="shared" si="18"/>
        <v/>
      </c>
      <c r="D97" s="139" t="str">
        <f t="shared" si="18"/>
        <v/>
      </c>
      <c r="E97" s="234">
        <f t="shared" si="18"/>
        <v>13</v>
      </c>
      <c r="F97" s="208" t="str">
        <f t="shared" si="18"/>
        <v/>
      </c>
      <c r="G97" s="209" t="str">
        <f t="shared" si="18"/>
        <v/>
      </c>
      <c r="H97" s="204" t="str">
        <f t="shared" si="18"/>
        <v/>
      </c>
      <c r="I97" s="315" t="str">
        <f t="shared" si="18"/>
        <v/>
      </c>
      <c r="J97" s="316" t="str">
        <f t="shared" si="18"/>
        <v/>
      </c>
    </row>
    <row r="98" spans="1:12" s="191" customFormat="1" ht="12.75" customHeight="1">
      <c r="A98" s="210" t="str">
        <f t="shared" ref="A98:J98" si="19">IF(A32="","",A32)</f>
        <v/>
      </c>
      <c r="B98" s="211" t="str">
        <f t="shared" si="19"/>
        <v>個</v>
      </c>
      <c r="C98" s="235" t="str">
        <f t="shared" si="19"/>
        <v/>
      </c>
      <c r="D98" s="140" t="str">
        <f t="shared" si="19"/>
        <v/>
      </c>
      <c r="E98" s="235">
        <f t="shared" si="19"/>
        <v>14</v>
      </c>
      <c r="F98" s="214" t="str">
        <f t="shared" si="19"/>
        <v/>
      </c>
      <c r="G98" s="215" t="str">
        <f t="shared" si="19"/>
        <v/>
      </c>
      <c r="H98" s="210" t="str">
        <f t="shared" si="19"/>
        <v/>
      </c>
      <c r="I98" s="326" t="str">
        <f t="shared" si="19"/>
        <v/>
      </c>
      <c r="J98" s="327" t="str">
        <f t="shared" si="19"/>
        <v/>
      </c>
    </row>
    <row r="99" spans="1:12" s="191" customFormat="1" ht="12.75" customHeight="1">
      <c r="A99" s="225" t="str">
        <f t="shared" ref="A99:J99" si="20">IF(A33="","",A33)</f>
        <v/>
      </c>
      <c r="B99" s="226" t="str">
        <f t="shared" si="20"/>
        <v>個</v>
      </c>
      <c r="C99" s="236" t="str">
        <f t="shared" si="20"/>
        <v/>
      </c>
      <c r="D99" s="141" t="str">
        <f t="shared" si="20"/>
        <v/>
      </c>
      <c r="E99" s="236">
        <f t="shared" si="20"/>
        <v>15</v>
      </c>
      <c r="F99" s="237" t="str">
        <f t="shared" si="20"/>
        <v/>
      </c>
      <c r="G99" s="230" t="str">
        <f t="shared" si="20"/>
        <v/>
      </c>
      <c r="H99" s="225" t="str">
        <f t="shared" si="20"/>
        <v/>
      </c>
      <c r="I99" s="328" t="str">
        <f t="shared" si="20"/>
        <v/>
      </c>
      <c r="J99" s="329" t="str">
        <f t="shared" si="20"/>
        <v/>
      </c>
    </row>
    <row r="100" spans="1:12" s="191" customFormat="1" ht="12.75" customHeight="1">
      <c r="A100" s="204" t="str">
        <f t="shared" ref="A100:J100" si="21">IF(A34="","",A34)</f>
        <v/>
      </c>
      <c r="B100" s="205" t="str">
        <f t="shared" si="21"/>
        <v>個</v>
      </c>
      <c r="C100" s="234" t="str">
        <f t="shared" si="21"/>
        <v/>
      </c>
      <c r="D100" s="139" t="str">
        <f t="shared" si="21"/>
        <v/>
      </c>
      <c r="E100" s="234">
        <f t="shared" si="21"/>
        <v>16</v>
      </c>
      <c r="F100" s="208" t="str">
        <f t="shared" si="21"/>
        <v/>
      </c>
      <c r="G100" s="209" t="str">
        <f t="shared" si="21"/>
        <v/>
      </c>
      <c r="H100" s="204" t="str">
        <f t="shared" si="21"/>
        <v/>
      </c>
      <c r="I100" s="315" t="str">
        <f t="shared" si="21"/>
        <v/>
      </c>
      <c r="J100" s="316" t="str">
        <f t="shared" si="21"/>
        <v/>
      </c>
    </row>
    <row r="101" spans="1:12" s="191" customFormat="1" ht="12.75" customHeight="1">
      <c r="A101" s="210" t="str">
        <f t="shared" ref="A101:J101" si="22">IF(A35="","",A35)</f>
        <v/>
      </c>
      <c r="B101" s="211" t="str">
        <f t="shared" si="22"/>
        <v>個</v>
      </c>
      <c r="C101" s="235" t="str">
        <f t="shared" si="22"/>
        <v/>
      </c>
      <c r="D101" s="140" t="str">
        <f t="shared" si="22"/>
        <v/>
      </c>
      <c r="E101" s="235">
        <f t="shared" si="22"/>
        <v>17</v>
      </c>
      <c r="F101" s="214" t="str">
        <f t="shared" si="22"/>
        <v/>
      </c>
      <c r="G101" s="215" t="str">
        <f t="shared" si="22"/>
        <v/>
      </c>
      <c r="H101" s="210" t="str">
        <f t="shared" si="22"/>
        <v/>
      </c>
      <c r="I101" s="326" t="str">
        <f t="shared" si="22"/>
        <v/>
      </c>
      <c r="J101" s="327" t="str">
        <f t="shared" si="22"/>
        <v/>
      </c>
    </row>
    <row r="102" spans="1:12" s="191" customFormat="1" ht="12.75" customHeight="1">
      <c r="A102" s="225" t="str">
        <f t="shared" ref="A102:J102" si="23">IF(A36="","",A36)</f>
        <v/>
      </c>
      <c r="B102" s="226" t="str">
        <f t="shared" si="23"/>
        <v>個</v>
      </c>
      <c r="C102" s="236" t="str">
        <f t="shared" si="23"/>
        <v/>
      </c>
      <c r="D102" s="141" t="str">
        <f t="shared" si="23"/>
        <v/>
      </c>
      <c r="E102" s="236">
        <f t="shared" si="23"/>
        <v>18</v>
      </c>
      <c r="F102" s="237" t="str">
        <f t="shared" si="23"/>
        <v/>
      </c>
      <c r="G102" s="230" t="str">
        <f t="shared" si="23"/>
        <v/>
      </c>
      <c r="H102" s="225" t="str">
        <f t="shared" si="23"/>
        <v/>
      </c>
      <c r="I102" s="328" t="str">
        <f t="shared" si="23"/>
        <v/>
      </c>
      <c r="J102" s="329" t="str">
        <f t="shared" si="23"/>
        <v/>
      </c>
    </row>
    <row r="103" spans="1:12" s="191" customFormat="1" ht="12.75" customHeight="1">
      <c r="A103" s="204" t="str">
        <f t="shared" ref="A103:J103" si="24">IF(A37="","",A37)</f>
        <v/>
      </c>
      <c r="B103" s="205" t="str">
        <f t="shared" si="24"/>
        <v>個</v>
      </c>
      <c r="C103" s="234" t="str">
        <f t="shared" si="24"/>
        <v/>
      </c>
      <c r="D103" s="139" t="str">
        <f t="shared" si="24"/>
        <v/>
      </c>
      <c r="E103" s="234">
        <f t="shared" si="24"/>
        <v>19</v>
      </c>
      <c r="F103" s="208" t="str">
        <f t="shared" si="24"/>
        <v/>
      </c>
      <c r="G103" s="209" t="str">
        <f t="shared" si="24"/>
        <v/>
      </c>
      <c r="H103" s="204" t="str">
        <f t="shared" si="24"/>
        <v/>
      </c>
      <c r="I103" s="315" t="str">
        <f t="shared" si="24"/>
        <v/>
      </c>
      <c r="J103" s="316" t="str">
        <f t="shared" si="24"/>
        <v/>
      </c>
    </row>
    <row r="104" spans="1:12" s="191" customFormat="1" ht="12.75" customHeight="1">
      <c r="A104" s="210" t="str">
        <f t="shared" ref="A104:J104" si="25">IF(A38="","",A38)</f>
        <v/>
      </c>
      <c r="B104" s="211" t="str">
        <f t="shared" si="25"/>
        <v>個</v>
      </c>
      <c r="C104" s="235" t="str">
        <f t="shared" si="25"/>
        <v/>
      </c>
      <c r="D104" s="140" t="str">
        <f t="shared" si="25"/>
        <v/>
      </c>
      <c r="E104" s="235">
        <f t="shared" si="25"/>
        <v>20</v>
      </c>
      <c r="F104" s="214" t="str">
        <f t="shared" si="25"/>
        <v/>
      </c>
      <c r="G104" s="215" t="str">
        <f t="shared" si="25"/>
        <v/>
      </c>
      <c r="H104" s="210" t="str">
        <f t="shared" si="25"/>
        <v/>
      </c>
      <c r="I104" s="326" t="str">
        <f t="shared" si="25"/>
        <v/>
      </c>
      <c r="J104" s="327" t="str">
        <f t="shared" si="25"/>
        <v/>
      </c>
    </row>
    <row r="105" spans="1:12" s="191" customFormat="1" ht="12.75" customHeight="1">
      <c r="A105" s="225" t="str">
        <f t="shared" ref="A105:J105" si="26">IF(A39="","",A39)</f>
        <v/>
      </c>
      <c r="B105" s="226" t="str">
        <f t="shared" si="26"/>
        <v>個</v>
      </c>
      <c r="C105" s="236" t="str">
        <f t="shared" si="26"/>
        <v/>
      </c>
      <c r="D105" s="141" t="str">
        <f t="shared" si="26"/>
        <v/>
      </c>
      <c r="E105" s="236">
        <f t="shared" si="26"/>
        <v>21</v>
      </c>
      <c r="F105" s="237" t="str">
        <f t="shared" si="26"/>
        <v/>
      </c>
      <c r="G105" s="230" t="str">
        <f t="shared" si="26"/>
        <v/>
      </c>
      <c r="H105" s="225" t="str">
        <f t="shared" si="26"/>
        <v/>
      </c>
      <c r="I105" s="328" t="str">
        <f t="shared" si="26"/>
        <v/>
      </c>
      <c r="J105" s="329" t="str">
        <f t="shared" si="26"/>
        <v/>
      </c>
      <c r="L105" s="197"/>
    </row>
    <row r="106" spans="1:12" s="191" customFormat="1" ht="12.75" customHeight="1">
      <c r="A106" s="204" t="str">
        <f t="shared" ref="A106:J106" si="27">IF(A40="","",A40)</f>
        <v/>
      </c>
      <c r="B106" s="205" t="str">
        <f t="shared" si="27"/>
        <v>個</v>
      </c>
      <c r="C106" s="234" t="str">
        <f t="shared" si="27"/>
        <v/>
      </c>
      <c r="D106" s="139" t="str">
        <f t="shared" si="27"/>
        <v/>
      </c>
      <c r="E106" s="234">
        <f t="shared" si="27"/>
        <v>22</v>
      </c>
      <c r="F106" s="208" t="str">
        <f t="shared" si="27"/>
        <v/>
      </c>
      <c r="G106" s="209" t="str">
        <f t="shared" si="27"/>
        <v/>
      </c>
      <c r="H106" s="204" t="str">
        <f t="shared" si="27"/>
        <v/>
      </c>
      <c r="I106" s="315" t="str">
        <f t="shared" si="27"/>
        <v/>
      </c>
      <c r="J106" s="316" t="str">
        <f t="shared" si="27"/>
        <v/>
      </c>
      <c r="L106" s="197"/>
    </row>
    <row r="107" spans="1:12" s="191" customFormat="1" ht="12.75" customHeight="1">
      <c r="A107" s="210" t="str">
        <f t="shared" ref="A107:J107" si="28">IF(A41="","",A41)</f>
        <v/>
      </c>
      <c r="B107" s="211" t="str">
        <f t="shared" si="28"/>
        <v>個</v>
      </c>
      <c r="C107" s="235" t="str">
        <f t="shared" si="28"/>
        <v/>
      </c>
      <c r="D107" s="140" t="str">
        <f t="shared" si="28"/>
        <v/>
      </c>
      <c r="E107" s="235">
        <f t="shared" si="28"/>
        <v>23</v>
      </c>
      <c r="F107" s="214" t="str">
        <f t="shared" si="28"/>
        <v/>
      </c>
      <c r="G107" s="215" t="str">
        <f t="shared" si="28"/>
        <v/>
      </c>
      <c r="H107" s="210" t="str">
        <f t="shared" si="28"/>
        <v/>
      </c>
      <c r="I107" s="326" t="str">
        <f t="shared" si="28"/>
        <v/>
      </c>
      <c r="J107" s="327" t="str">
        <f t="shared" si="28"/>
        <v/>
      </c>
      <c r="L107" s="197"/>
    </row>
    <row r="108" spans="1:12" s="191" customFormat="1" ht="12.75" customHeight="1">
      <c r="A108" s="225" t="str">
        <f t="shared" ref="A108:J108" si="29">IF(A42="","",A42)</f>
        <v/>
      </c>
      <c r="B108" s="226" t="str">
        <f t="shared" si="29"/>
        <v>個</v>
      </c>
      <c r="C108" s="236" t="str">
        <f t="shared" si="29"/>
        <v/>
      </c>
      <c r="D108" s="141" t="str">
        <f t="shared" si="29"/>
        <v/>
      </c>
      <c r="E108" s="236">
        <f t="shared" si="29"/>
        <v>24</v>
      </c>
      <c r="F108" s="237" t="str">
        <f t="shared" si="29"/>
        <v/>
      </c>
      <c r="G108" s="230" t="str">
        <f t="shared" si="29"/>
        <v/>
      </c>
      <c r="H108" s="225" t="str">
        <f t="shared" si="29"/>
        <v/>
      </c>
      <c r="I108" s="328" t="str">
        <f t="shared" si="29"/>
        <v/>
      </c>
      <c r="J108" s="329" t="str">
        <f t="shared" si="29"/>
        <v/>
      </c>
      <c r="L108" s="197"/>
    </row>
    <row r="109" spans="1:12" s="191" customFormat="1" ht="12.75" customHeight="1">
      <c r="A109" s="204" t="str">
        <f t="shared" ref="A109:J109" si="30">IF(A43="","",A43)</f>
        <v/>
      </c>
      <c r="B109" s="205" t="str">
        <f t="shared" si="30"/>
        <v>個</v>
      </c>
      <c r="C109" s="234" t="str">
        <f t="shared" si="30"/>
        <v/>
      </c>
      <c r="D109" s="139" t="str">
        <f t="shared" si="30"/>
        <v/>
      </c>
      <c r="E109" s="234">
        <f t="shared" si="30"/>
        <v>25</v>
      </c>
      <c r="F109" s="208" t="str">
        <f t="shared" si="30"/>
        <v/>
      </c>
      <c r="G109" s="209" t="str">
        <f t="shared" si="30"/>
        <v/>
      </c>
      <c r="H109" s="204" t="str">
        <f t="shared" si="30"/>
        <v/>
      </c>
      <c r="I109" s="315" t="str">
        <f t="shared" si="30"/>
        <v/>
      </c>
      <c r="J109" s="316" t="str">
        <f t="shared" si="30"/>
        <v/>
      </c>
      <c r="L109" s="197"/>
    </row>
    <row r="110" spans="1:12" s="191" customFormat="1" ht="12.75" customHeight="1">
      <c r="A110" s="210" t="str">
        <f t="shared" ref="A110:J110" si="31">IF(A44="","",A44)</f>
        <v/>
      </c>
      <c r="B110" s="211" t="str">
        <f t="shared" si="31"/>
        <v>個</v>
      </c>
      <c r="C110" s="235" t="str">
        <f t="shared" si="31"/>
        <v/>
      </c>
      <c r="D110" s="140" t="str">
        <f t="shared" si="31"/>
        <v/>
      </c>
      <c r="E110" s="235">
        <f t="shared" si="31"/>
        <v>26</v>
      </c>
      <c r="F110" s="214" t="str">
        <f t="shared" si="31"/>
        <v/>
      </c>
      <c r="G110" s="215" t="str">
        <f t="shared" si="31"/>
        <v/>
      </c>
      <c r="H110" s="210" t="str">
        <f t="shared" si="31"/>
        <v/>
      </c>
      <c r="I110" s="326" t="str">
        <f t="shared" si="31"/>
        <v/>
      </c>
      <c r="J110" s="327" t="str">
        <f t="shared" si="31"/>
        <v/>
      </c>
    </row>
    <row r="111" spans="1:12" s="191" customFormat="1" ht="12.75" customHeight="1">
      <c r="A111" s="225" t="str">
        <f t="shared" ref="A111:J111" si="32">IF(A45="","",A45)</f>
        <v/>
      </c>
      <c r="B111" s="226" t="str">
        <f t="shared" si="32"/>
        <v>個</v>
      </c>
      <c r="C111" s="236" t="str">
        <f t="shared" si="32"/>
        <v/>
      </c>
      <c r="D111" s="141" t="str">
        <f t="shared" si="32"/>
        <v/>
      </c>
      <c r="E111" s="236">
        <f t="shared" si="32"/>
        <v>27</v>
      </c>
      <c r="F111" s="237" t="str">
        <f t="shared" si="32"/>
        <v/>
      </c>
      <c r="G111" s="230" t="str">
        <f t="shared" si="32"/>
        <v/>
      </c>
      <c r="H111" s="225" t="str">
        <f t="shared" si="32"/>
        <v/>
      </c>
      <c r="I111" s="328" t="str">
        <f t="shared" si="32"/>
        <v/>
      </c>
      <c r="J111" s="329" t="str">
        <f t="shared" si="32"/>
        <v/>
      </c>
    </row>
    <row r="112" spans="1:12" s="191" customFormat="1" ht="12.75" customHeight="1">
      <c r="A112" s="204" t="str">
        <f t="shared" ref="A112:J112" si="33">IF(A46="","",A46)</f>
        <v/>
      </c>
      <c r="B112" s="205" t="str">
        <f t="shared" si="33"/>
        <v>個</v>
      </c>
      <c r="C112" s="234" t="str">
        <f t="shared" si="33"/>
        <v/>
      </c>
      <c r="D112" s="139" t="str">
        <f t="shared" si="33"/>
        <v/>
      </c>
      <c r="E112" s="234">
        <f t="shared" si="33"/>
        <v>28</v>
      </c>
      <c r="F112" s="208" t="str">
        <f t="shared" si="33"/>
        <v/>
      </c>
      <c r="G112" s="209" t="str">
        <f t="shared" si="33"/>
        <v/>
      </c>
      <c r="H112" s="204" t="str">
        <f t="shared" si="33"/>
        <v/>
      </c>
      <c r="I112" s="315" t="str">
        <f t="shared" si="33"/>
        <v/>
      </c>
      <c r="J112" s="316" t="str">
        <f t="shared" si="33"/>
        <v/>
      </c>
    </row>
    <row r="113" spans="1:10" s="191" customFormat="1" ht="12.75" customHeight="1">
      <c r="A113" s="210" t="str">
        <f t="shared" ref="A113:J113" si="34">IF(A47="","",A47)</f>
        <v/>
      </c>
      <c r="B113" s="211" t="str">
        <f t="shared" si="34"/>
        <v>個</v>
      </c>
      <c r="C113" s="235" t="str">
        <f t="shared" si="34"/>
        <v/>
      </c>
      <c r="D113" s="140" t="str">
        <f t="shared" si="34"/>
        <v/>
      </c>
      <c r="E113" s="235">
        <f t="shared" si="34"/>
        <v>29</v>
      </c>
      <c r="F113" s="214" t="str">
        <f t="shared" si="34"/>
        <v/>
      </c>
      <c r="G113" s="215" t="str">
        <f t="shared" si="34"/>
        <v/>
      </c>
      <c r="H113" s="210" t="str">
        <f t="shared" si="34"/>
        <v/>
      </c>
      <c r="I113" s="326" t="str">
        <f t="shared" si="34"/>
        <v/>
      </c>
      <c r="J113" s="327" t="str">
        <f t="shared" si="34"/>
        <v/>
      </c>
    </row>
    <row r="114" spans="1:10" s="191" customFormat="1" ht="12.75" customHeight="1">
      <c r="A114" s="225" t="str">
        <f t="shared" ref="A114:J114" si="35">IF(A48="","",A48)</f>
        <v/>
      </c>
      <c r="B114" s="226" t="str">
        <f t="shared" si="35"/>
        <v>個</v>
      </c>
      <c r="C114" s="236" t="str">
        <f t="shared" si="35"/>
        <v/>
      </c>
      <c r="D114" s="141" t="str">
        <f t="shared" si="35"/>
        <v/>
      </c>
      <c r="E114" s="236">
        <f t="shared" si="35"/>
        <v>30</v>
      </c>
      <c r="F114" s="237" t="str">
        <f t="shared" si="35"/>
        <v/>
      </c>
      <c r="G114" s="230" t="str">
        <f t="shared" si="35"/>
        <v/>
      </c>
      <c r="H114" s="225" t="str">
        <f t="shared" si="35"/>
        <v/>
      </c>
      <c r="I114" s="328" t="str">
        <f t="shared" si="35"/>
        <v/>
      </c>
      <c r="J114" s="329" t="str">
        <f t="shared" si="35"/>
        <v/>
      </c>
    </row>
    <row r="115" spans="1:10" s="191" customFormat="1" ht="12.75" customHeight="1">
      <c r="A115" s="204" t="str">
        <f t="shared" ref="A115:J115" si="36">IF(A49="","",A49)</f>
        <v/>
      </c>
      <c r="B115" s="205" t="str">
        <f t="shared" si="36"/>
        <v>個</v>
      </c>
      <c r="C115" s="234" t="str">
        <f t="shared" si="36"/>
        <v/>
      </c>
      <c r="D115" s="139" t="str">
        <f t="shared" si="36"/>
        <v/>
      </c>
      <c r="E115" s="234">
        <f t="shared" si="36"/>
        <v>31</v>
      </c>
      <c r="F115" s="208" t="str">
        <f t="shared" si="36"/>
        <v/>
      </c>
      <c r="G115" s="209" t="str">
        <f t="shared" si="36"/>
        <v/>
      </c>
      <c r="H115" s="204" t="str">
        <f t="shared" si="36"/>
        <v/>
      </c>
      <c r="I115" s="315" t="str">
        <f t="shared" si="36"/>
        <v/>
      </c>
      <c r="J115" s="316" t="str">
        <f t="shared" si="36"/>
        <v/>
      </c>
    </row>
    <row r="116" spans="1:10" s="191" customFormat="1" ht="12.75" customHeight="1">
      <c r="A116" s="210" t="str">
        <f t="shared" ref="A116:J116" si="37">IF(A50="","",A50)</f>
        <v/>
      </c>
      <c r="B116" s="211" t="str">
        <f t="shared" si="37"/>
        <v>個</v>
      </c>
      <c r="C116" s="235" t="str">
        <f t="shared" si="37"/>
        <v/>
      </c>
      <c r="D116" s="140" t="str">
        <f t="shared" si="37"/>
        <v/>
      </c>
      <c r="E116" s="235">
        <f t="shared" si="37"/>
        <v>32</v>
      </c>
      <c r="F116" s="214" t="str">
        <f t="shared" si="37"/>
        <v/>
      </c>
      <c r="G116" s="215" t="str">
        <f t="shared" si="37"/>
        <v/>
      </c>
      <c r="H116" s="210" t="str">
        <f t="shared" si="37"/>
        <v/>
      </c>
      <c r="I116" s="326" t="str">
        <f t="shared" si="37"/>
        <v/>
      </c>
      <c r="J116" s="327" t="str">
        <f t="shared" si="37"/>
        <v/>
      </c>
    </row>
    <row r="117" spans="1:10" s="191" customFormat="1" ht="12.75" customHeight="1">
      <c r="A117" s="225" t="str">
        <f t="shared" ref="A117:J117" si="38">IF(A51="","",A51)</f>
        <v/>
      </c>
      <c r="B117" s="226" t="str">
        <f t="shared" si="38"/>
        <v>個</v>
      </c>
      <c r="C117" s="236" t="str">
        <f t="shared" si="38"/>
        <v/>
      </c>
      <c r="D117" s="141" t="str">
        <f t="shared" si="38"/>
        <v/>
      </c>
      <c r="E117" s="236">
        <f t="shared" si="38"/>
        <v>33</v>
      </c>
      <c r="F117" s="237" t="str">
        <f t="shared" si="38"/>
        <v/>
      </c>
      <c r="G117" s="230" t="str">
        <f t="shared" si="38"/>
        <v/>
      </c>
      <c r="H117" s="225" t="str">
        <f t="shared" si="38"/>
        <v/>
      </c>
      <c r="I117" s="328" t="str">
        <f t="shared" si="38"/>
        <v/>
      </c>
      <c r="J117" s="329" t="str">
        <f t="shared" si="38"/>
        <v/>
      </c>
    </row>
    <row r="118" spans="1:10" s="191" customFormat="1" ht="12.75" customHeight="1">
      <c r="A118" s="204" t="str">
        <f t="shared" ref="A118:J118" si="39">IF(A52="","",A52)</f>
        <v/>
      </c>
      <c r="B118" s="205" t="str">
        <f t="shared" si="39"/>
        <v>個</v>
      </c>
      <c r="C118" s="234" t="str">
        <f t="shared" si="39"/>
        <v/>
      </c>
      <c r="D118" s="139" t="str">
        <f t="shared" si="39"/>
        <v/>
      </c>
      <c r="E118" s="234">
        <f t="shared" si="39"/>
        <v>34</v>
      </c>
      <c r="F118" s="208" t="str">
        <f t="shared" si="39"/>
        <v/>
      </c>
      <c r="G118" s="209" t="str">
        <f t="shared" si="39"/>
        <v/>
      </c>
      <c r="H118" s="204" t="str">
        <f t="shared" si="39"/>
        <v/>
      </c>
      <c r="I118" s="315" t="str">
        <f t="shared" si="39"/>
        <v/>
      </c>
      <c r="J118" s="316" t="str">
        <f t="shared" si="39"/>
        <v/>
      </c>
    </row>
    <row r="119" spans="1:10" s="191" customFormat="1" ht="12.75" customHeight="1">
      <c r="A119" s="210" t="str">
        <f t="shared" ref="A119:J119" si="40">IF(A53="","",A53)</f>
        <v/>
      </c>
      <c r="B119" s="211" t="str">
        <f t="shared" si="40"/>
        <v>個</v>
      </c>
      <c r="C119" s="235" t="str">
        <f t="shared" si="40"/>
        <v/>
      </c>
      <c r="D119" s="140" t="str">
        <f t="shared" si="40"/>
        <v/>
      </c>
      <c r="E119" s="235">
        <f t="shared" si="40"/>
        <v>35</v>
      </c>
      <c r="F119" s="214" t="str">
        <f t="shared" si="40"/>
        <v/>
      </c>
      <c r="G119" s="215" t="str">
        <f t="shared" si="40"/>
        <v/>
      </c>
      <c r="H119" s="210" t="str">
        <f t="shared" si="40"/>
        <v/>
      </c>
      <c r="I119" s="326" t="str">
        <f t="shared" si="40"/>
        <v/>
      </c>
      <c r="J119" s="327" t="str">
        <f t="shared" si="40"/>
        <v/>
      </c>
    </row>
    <row r="120" spans="1:10" s="191" customFormat="1" ht="12.75" customHeight="1">
      <c r="A120" s="225" t="str">
        <f t="shared" ref="A120:J120" si="41">IF(A54="","",A54)</f>
        <v/>
      </c>
      <c r="B120" s="226" t="str">
        <f t="shared" si="41"/>
        <v>個</v>
      </c>
      <c r="C120" s="236" t="str">
        <f t="shared" si="41"/>
        <v/>
      </c>
      <c r="D120" s="141" t="str">
        <f t="shared" si="41"/>
        <v/>
      </c>
      <c r="E120" s="236">
        <f t="shared" si="41"/>
        <v>36</v>
      </c>
      <c r="F120" s="237" t="str">
        <f t="shared" si="41"/>
        <v/>
      </c>
      <c r="G120" s="230" t="str">
        <f t="shared" si="41"/>
        <v/>
      </c>
      <c r="H120" s="225" t="str">
        <f t="shared" si="41"/>
        <v/>
      </c>
      <c r="I120" s="328" t="str">
        <f t="shared" si="41"/>
        <v/>
      </c>
      <c r="J120" s="329" t="str">
        <f t="shared" si="41"/>
        <v/>
      </c>
    </row>
    <row r="121" spans="1:10" s="191" customFormat="1" ht="12.75" customHeight="1">
      <c r="A121" s="204" t="str">
        <f t="shared" ref="A121:J121" si="42">IF(A55="","",A55)</f>
        <v/>
      </c>
      <c r="B121" s="205" t="str">
        <f t="shared" si="42"/>
        <v>個</v>
      </c>
      <c r="C121" s="234" t="str">
        <f t="shared" si="42"/>
        <v/>
      </c>
      <c r="D121" s="139" t="str">
        <f t="shared" si="42"/>
        <v/>
      </c>
      <c r="E121" s="234">
        <f t="shared" si="42"/>
        <v>37</v>
      </c>
      <c r="F121" s="208" t="str">
        <f t="shared" si="42"/>
        <v/>
      </c>
      <c r="G121" s="209" t="str">
        <f t="shared" si="42"/>
        <v/>
      </c>
      <c r="H121" s="204" t="str">
        <f t="shared" si="42"/>
        <v/>
      </c>
      <c r="I121" s="315" t="str">
        <f t="shared" si="42"/>
        <v/>
      </c>
      <c r="J121" s="316" t="str">
        <f t="shared" si="42"/>
        <v/>
      </c>
    </row>
    <row r="122" spans="1:10" s="191" customFormat="1" ht="12.75" customHeight="1">
      <c r="A122" s="210" t="str">
        <f t="shared" ref="A122:J122" si="43">IF(A56="","",A56)</f>
        <v/>
      </c>
      <c r="B122" s="211" t="str">
        <f t="shared" si="43"/>
        <v>個</v>
      </c>
      <c r="C122" s="235" t="str">
        <f t="shared" si="43"/>
        <v/>
      </c>
      <c r="D122" s="140" t="str">
        <f t="shared" si="43"/>
        <v/>
      </c>
      <c r="E122" s="235">
        <f t="shared" si="43"/>
        <v>38</v>
      </c>
      <c r="F122" s="214" t="str">
        <f t="shared" si="43"/>
        <v/>
      </c>
      <c r="G122" s="215" t="str">
        <f t="shared" si="43"/>
        <v/>
      </c>
      <c r="H122" s="210" t="str">
        <f t="shared" si="43"/>
        <v/>
      </c>
      <c r="I122" s="326" t="str">
        <f t="shared" si="43"/>
        <v/>
      </c>
      <c r="J122" s="327" t="str">
        <f t="shared" si="43"/>
        <v/>
      </c>
    </row>
    <row r="123" spans="1:10" s="191" customFormat="1" ht="12.75" customHeight="1">
      <c r="A123" s="225" t="str">
        <f t="shared" ref="A123:J123" si="44">IF(A57="","",A57)</f>
        <v/>
      </c>
      <c r="B123" s="226" t="str">
        <f t="shared" si="44"/>
        <v>個</v>
      </c>
      <c r="C123" s="236" t="str">
        <f t="shared" si="44"/>
        <v/>
      </c>
      <c r="D123" s="141" t="str">
        <f t="shared" si="44"/>
        <v/>
      </c>
      <c r="E123" s="236">
        <f t="shared" si="44"/>
        <v>39</v>
      </c>
      <c r="F123" s="237" t="str">
        <f t="shared" si="44"/>
        <v/>
      </c>
      <c r="G123" s="230" t="str">
        <f t="shared" si="44"/>
        <v/>
      </c>
      <c r="H123" s="225" t="str">
        <f t="shared" si="44"/>
        <v/>
      </c>
      <c r="I123" s="328" t="str">
        <f t="shared" si="44"/>
        <v/>
      </c>
      <c r="J123" s="329" t="str">
        <f t="shared" si="44"/>
        <v/>
      </c>
    </row>
    <row r="124" spans="1:10" s="191" customFormat="1" ht="5.25" customHeight="1">
      <c r="H124" s="192"/>
    </row>
    <row r="125" spans="1:10" s="238" customFormat="1" ht="12.75" customHeight="1">
      <c r="A125" s="385" t="s">
        <v>406</v>
      </c>
      <c r="B125" s="385"/>
      <c r="C125" s="385"/>
      <c r="D125" s="385"/>
      <c r="E125" s="386">
        <f>E59</f>
        <v>43734</v>
      </c>
      <c r="F125" s="387"/>
    </row>
    <row r="126" spans="1:10" s="238" customFormat="1" ht="12.75" customHeight="1">
      <c r="A126" s="348"/>
      <c r="B126" s="348"/>
      <c r="C126" s="348"/>
      <c r="D126" s="348"/>
      <c r="E126" s="239"/>
      <c r="F126" s="239"/>
    </row>
    <row r="127" spans="1:10" s="238" customFormat="1" ht="12.75" customHeight="1">
      <c r="A127" s="348"/>
      <c r="B127" s="348"/>
      <c r="C127" s="348"/>
      <c r="D127" s="348"/>
    </row>
    <row r="128" spans="1:10" s="238" customFormat="1" ht="12.75" customHeight="1">
      <c r="A128" s="239" t="s">
        <v>507</v>
      </c>
      <c r="B128" s="383" t="str">
        <f>B62</f>
        <v/>
      </c>
      <c r="C128" s="383"/>
      <c r="D128" s="383"/>
      <c r="E128" s="239" t="s">
        <v>199</v>
      </c>
      <c r="F128" s="249" t="str">
        <f>F62</f>
        <v xml:space="preserve">○　○　○　○　 </v>
      </c>
      <c r="G128" s="347" t="s">
        <v>511</v>
      </c>
    </row>
    <row r="129" spans="1:11" s="238" customFormat="1" ht="12.75" customHeight="1">
      <c r="H129" s="240"/>
    </row>
    <row r="130" spans="1:11" s="238" customFormat="1" ht="12.75" customHeight="1">
      <c r="H130" s="240"/>
    </row>
    <row r="131" spans="1:11" s="238" customFormat="1" ht="12.75" customHeight="1">
      <c r="A131" s="239" t="s">
        <v>510</v>
      </c>
      <c r="B131" s="383" t="str">
        <f>B65</f>
        <v/>
      </c>
      <c r="C131" s="383"/>
      <c r="D131" s="383"/>
      <c r="E131" s="239" t="s">
        <v>509</v>
      </c>
      <c r="F131" s="249" t="str">
        <f>F65</f>
        <v xml:space="preserve">○　○　○　○　 </v>
      </c>
      <c r="G131" s="347" t="s">
        <v>511</v>
      </c>
      <c r="H131" s="240"/>
      <c r="K131" s="250"/>
    </row>
    <row r="132" spans="1:11" s="191" customFormat="1" ht="5.25" customHeight="1">
      <c r="H132" s="192"/>
    </row>
  </sheetData>
  <sheetProtection password="CC71" sheet="1" objects="1" scenarios="1"/>
  <mergeCells count="45">
    <mergeCell ref="B128:D128"/>
    <mergeCell ref="B131:D131"/>
    <mergeCell ref="A2:A4"/>
    <mergeCell ref="I77:J77"/>
    <mergeCell ref="B95:G95"/>
    <mergeCell ref="I95:J95"/>
    <mergeCell ref="A125:D125"/>
    <mergeCell ref="E125:F125"/>
    <mergeCell ref="B70:C70"/>
    <mergeCell ref="D70:F70"/>
    <mergeCell ref="B72:C72"/>
    <mergeCell ref="D72:G72"/>
    <mergeCell ref="E59:F59"/>
    <mergeCell ref="B62:D62"/>
    <mergeCell ref="B65:D65"/>
    <mergeCell ref="C68:G68"/>
    <mergeCell ref="B75:C75"/>
    <mergeCell ref="D75:G75"/>
    <mergeCell ref="B77:G77"/>
    <mergeCell ref="B7:C7"/>
    <mergeCell ref="D7:E7"/>
    <mergeCell ref="B9:C9"/>
    <mergeCell ref="B8:C8"/>
    <mergeCell ref="A59:D59"/>
    <mergeCell ref="B73:C73"/>
    <mergeCell ref="D73:E73"/>
    <mergeCell ref="F73:G73"/>
    <mergeCell ref="B74:C74"/>
    <mergeCell ref="D74:E74"/>
    <mergeCell ref="F74:G74"/>
    <mergeCell ref="D4:F4"/>
    <mergeCell ref="K2:K3"/>
    <mergeCell ref="L2:L3"/>
    <mergeCell ref="C2:G2"/>
    <mergeCell ref="B4:C4"/>
    <mergeCell ref="I11:J11"/>
    <mergeCell ref="B6:C6"/>
    <mergeCell ref="D6:G6"/>
    <mergeCell ref="I29:J29"/>
    <mergeCell ref="F7:G7"/>
    <mergeCell ref="D8:E8"/>
    <mergeCell ref="F8:G8"/>
    <mergeCell ref="D9:G9"/>
    <mergeCell ref="B29:G29"/>
    <mergeCell ref="B11:G11"/>
  </mergeCells>
  <phoneticPr fontId="2"/>
  <dataValidations count="1">
    <dataValidation type="list" allowBlank="1" showInputMessage="1" showErrorMessage="1" sqref="I31:I57 I13:I24">
      <formula1>"なし,あり→"</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L132"/>
  <sheetViews>
    <sheetView zoomScaleNormal="100" workbookViewId="0"/>
  </sheetViews>
  <sheetFormatPr defaultColWidth="9" defaultRowHeight="12.75"/>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10" width="3.875" style="143" customWidth="1"/>
    <col min="11" max="16384" width="9" style="143"/>
  </cols>
  <sheetData>
    <row r="1" spans="1:12" ht="5.25" customHeight="1"/>
    <row r="2" spans="1:12" ht="22.5" customHeight="1">
      <c r="A2" s="382" t="s">
        <v>518</v>
      </c>
      <c r="B2" s="340">
        <v>2</v>
      </c>
      <c r="C2" s="424" t="str">
        <f>日!B1&amp;"県高校弓道地区大会（北毛･中毛･東毛）"</f>
        <v>令和元年度県高校弓道地区大会（北毛･中毛･東毛）</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301"/>
      <c r="H4" s="302"/>
      <c r="K4" s="62" t="s">
        <v>531</v>
      </c>
      <c r="L4" s="62" t="s">
        <v>531</v>
      </c>
    </row>
    <row r="5" spans="1:12" ht="12.75" customHeight="1">
      <c r="B5" s="144"/>
      <c r="C5" s="144"/>
      <c r="D5" s="145"/>
      <c r="E5" s="145"/>
      <c r="F5" s="145"/>
      <c r="G5" s="145"/>
      <c r="K5" s="341" t="str">
        <f>SUBSTITUTE(SUBSTITUTE(K4," ",""),"　","")</f>
        <v>○○</v>
      </c>
      <c r="L5" s="341" t="str">
        <f>SUBSTITUTE(SUBSTITUTE(L4," ",""),"　","")</f>
        <v>○○</v>
      </c>
    </row>
    <row r="6" spans="1:12" ht="12.75" customHeight="1">
      <c r="B6" s="411" t="s">
        <v>39</v>
      </c>
      <c r="C6" s="411"/>
      <c r="D6" s="427">
        <v>11</v>
      </c>
      <c r="E6" s="427"/>
      <c r="F6" s="427"/>
      <c r="G6" s="427"/>
      <c r="I6" s="147"/>
    </row>
    <row r="7" spans="1:12" ht="12.75" customHeight="1">
      <c r="B7" s="411" t="s">
        <v>40</v>
      </c>
      <c r="C7" s="411"/>
      <c r="D7" s="422">
        <f>VLOOKUP(D6,日!$B$2:$F$111,3,0)</f>
        <v>43734</v>
      </c>
      <c r="E7" s="423"/>
      <c r="F7" s="416" t="str">
        <f>TEXT(WEEKDAY(D7,1),"aaaa")&amp;"　１６時"</f>
        <v>木曜日　１６時</v>
      </c>
      <c r="G7" s="417"/>
      <c r="I7" s="147"/>
    </row>
    <row r="8" spans="1:12" ht="12.75" customHeight="1">
      <c r="B8" s="411" t="s">
        <v>38</v>
      </c>
      <c r="C8" s="411"/>
      <c r="D8" s="418">
        <f>VLOOKUP(D6,日!$B$2:$F$111,5,0)</f>
        <v>43743</v>
      </c>
      <c r="E8" s="419"/>
      <c r="F8" s="420" t="str">
        <f>TEXT(WEEKDAY(D8,1),"aaaa")</f>
        <v>土曜日</v>
      </c>
      <c r="G8" s="421"/>
      <c r="I8" s="147"/>
    </row>
    <row r="9" spans="1:12" ht="12.75" customHeight="1">
      <c r="B9" s="411" t="s">
        <v>41</v>
      </c>
      <c r="C9" s="411"/>
      <c r="D9" s="412" t="s">
        <v>52</v>
      </c>
      <c r="E9" s="453"/>
      <c r="F9" s="453"/>
      <c r="G9" s="413"/>
      <c r="I9" s="147"/>
    </row>
    <row r="10" spans="1:12" ht="12.75" customHeight="1">
      <c r="B10" s="147" t="s">
        <v>62</v>
      </c>
      <c r="C10" s="147"/>
      <c r="D10" s="146"/>
      <c r="E10" s="146"/>
      <c r="F10" s="146"/>
      <c r="G10" s="146"/>
      <c r="I10" s="147"/>
    </row>
    <row r="11" spans="1:12" ht="22.5" customHeight="1">
      <c r="B11" s="414" t="str">
        <f>IF(B2=1,"男　子　団　体　参　加　申　込　書","女　子　団　体　参　加　申　込　書")</f>
        <v>女　子　団　体　参　加　申　込　書</v>
      </c>
      <c r="C11" s="414"/>
      <c r="D11" s="414"/>
      <c r="E11" s="414"/>
      <c r="F11" s="414"/>
      <c r="G11" s="414"/>
      <c r="I11" s="451" t="s">
        <v>53</v>
      </c>
      <c r="J11" s="452"/>
    </row>
    <row r="12" spans="1:12" ht="12.75" customHeight="1">
      <c r="A12" s="340" t="s">
        <v>32</v>
      </c>
      <c r="B12" s="148" t="s">
        <v>51</v>
      </c>
      <c r="C12" s="149" t="s">
        <v>10</v>
      </c>
      <c r="D12" s="150" t="s">
        <v>33</v>
      </c>
      <c r="E12" s="151" t="s">
        <v>12</v>
      </c>
      <c r="F12" s="152" t="s">
        <v>13</v>
      </c>
      <c r="G12" s="153" t="s">
        <v>14</v>
      </c>
      <c r="H12" s="340" t="s">
        <v>47</v>
      </c>
      <c r="I12" s="340" t="s">
        <v>54</v>
      </c>
      <c r="J12" s="340" t="s">
        <v>55</v>
      </c>
    </row>
    <row r="13" spans="1:12" ht="12.75" customHeight="1">
      <c r="A13" s="154" t="str">
        <f>IF($B$2=1,IF($D$13="","",VLOOKUP(登!$D$1,立男!$A$4:$I$100,4,0)),IF($D$13="","",VLOOKUP(登!$D$1,立女!$A$4:$I$100,4,0)))</f>
        <v/>
      </c>
      <c r="B13" s="155" t="s">
        <v>56</v>
      </c>
      <c r="C13" s="156" t="str">
        <f>IF(D13="","",登!$F$1)</f>
        <v/>
      </c>
      <c r="D13" s="63"/>
      <c r="E13" s="157">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4" t="str">
        <f t="shared" ref="H13:H24" si="0">IF(D13="","",IF(COUNTIF($D$13:$D$24,D13)+COUNTIF($D$31:$D$57,D13)&gt;1,"選手重複!!","OK"))</f>
        <v/>
      </c>
      <c r="I13" s="496"/>
      <c r="J13" s="497"/>
    </row>
    <row r="14" spans="1:12" ht="12.75" customHeight="1">
      <c r="A14" s="303" t="str">
        <f>IF($B$2=1,IF($D$13="","",VLOOKUP(登!$D$1,立男!$A$4:$I$100,4,0)),IF($D$13="","",VLOOKUP(登!$D$1,立女!$A$4:$I$100,4,0)))</f>
        <v/>
      </c>
      <c r="B14" s="304" t="s">
        <v>16</v>
      </c>
      <c r="C14" s="305" t="str">
        <f>IF(D14="","",登!$F$1)</f>
        <v/>
      </c>
      <c r="D14" s="495"/>
      <c r="E14" s="306">
        <v>2</v>
      </c>
      <c r="F14" s="307" t="str">
        <f>IF(D14="","",IF(COUNTIF($D$13:D14,"")&gt;0,"大前から詰めて入力",IF(INT(VALUE(RIGHT(D14,3))/100)=$B$2,VLOOKUP(D14,登!$B$4:$I$103,7,0),"部員番号入力ミス")))</f>
        <v/>
      </c>
      <c r="G14" s="308" t="str">
        <f>IF(D14="","",IF(INT(VALUE(RIGHT(D14,3))/100)=$B$2,IF(VLOOKUP(D14,登!$B$4:$I$103,2,0)=登!$B$1,1,IF(VLOOKUP(D14,登!$B$4:$I$103,2,0)=登!$B$1-1,2,IF(VLOOKUP(D14,登!$B$4:$I$103,2,0)=登!$B$1-2,3,"学年ミス"))),"番号ミス"))</f>
        <v/>
      </c>
      <c r="H14" s="303" t="str">
        <f t="shared" si="0"/>
        <v/>
      </c>
      <c r="I14" s="498"/>
      <c r="J14" s="499"/>
    </row>
    <row r="15" spans="1:12" ht="12.75" customHeight="1">
      <c r="A15" s="160" t="str">
        <f>IF($B$2=1,IF($D$13="","",VLOOKUP(登!$D$1,立男!$A$4:$I$100,4,0)),IF($D$13="","",VLOOKUP(登!$D$1,立女!$A$4:$I$100,4,0)))</f>
        <v/>
      </c>
      <c r="B15" s="161" t="s">
        <v>56</v>
      </c>
      <c r="C15" s="162" t="str">
        <f>IF(D15="","",登!$F$1)</f>
        <v/>
      </c>
      <c r="D15" s="64"/>
      <c r="E15" s="163">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0" t="str">
        <f t="shared" si="0"/>
        <v/>
      </c>
      <c r="I15" s="500"/>
      <c r="J15" s="501"/>
    </row>
    <row r="16" spans="1:12" ht="12.75" customHeight="1">
      <c r="A16" s="175" t="str">
        <f>IF($B$2=1,IF($D$13="","",VLOOKUP(登!$D$1,立男!$A$4:$I$100,4,0)),IF($D$13="","",VLOOKUP(登!$D$1,立女!$A$4:$I$100,4,0)))</f>
        <v/>
      </c>
      <c r="B16" s="176" t="s">
        <v>56</v>
      </c>
      <c r="C16" s="177" t="str">
        <f>IF(D16="","",登!$F$1)</f>
        <v/>
      </c>
      <c r="D16" s="66"/>
      <c r="E16" s="179">
        <v>4</v>
      </c>
      <c r="F16" s="188" t="str">
        <f>IF(D16="","",IF(COUNTIF($D$13:D16,"")&gt;0,"大前から詰めて入力",IF(INT(VALUE(RIGHT(D16,3))/100)=$B$2,VLOOKUP(D16,登!$B$4:$I$103,7,0),"部員番号入力ミス")))</f>
        <v/>
      </c>
      <c r="G16" s="181" t="str">
        <f>IF(D16="","",IF(INT(VALUE(RIGHT(D16,3))/100)=$B$2,IF(VLOOKUP(D16,登!$B$4:$I$103,2,0)=登!$B$1,1,IF(VLOOKUP(D16,登!$B$4:$I$103,2,0)=登!$B$1-1,2,IF(VLOOKUP(D16,登!$B$4:$I$103,2,0)=登!$B$1-2,3,"学年ミス"))),"番号ミス"))</f>
        <v/>
      </c>
      <c r="H16" s="175" t="str">
        <f t="shared" si="0"/>
        <v/>
      </c>
      <c r="I16" s="502"/>
      <c r="J16" s="503"/>
    </row>
    <row r="17" spans="1:10" ht="12.75" customHeight="1">
      <c r="A17" s="154" t="str">
        <f>IF($B$2=1,IF($D$17="","",VLOOKUP(登!$D$1,立男!$A$4:$I$100,4,0)+100),IF($D$17="","",VLOOKUP(登!$D$1,立女!$A$4:$I$100,4,0)+100))</f>
        <v/>
      </c>
      <c r="B17" s="155" t="s">
        <v>57</v>
      </c>
      <c r="C17" s="156" t="str">
        <f>IF(D17="","",登!$F$1)</f>
        <v/>
      </c>
      <c r="D17" s="63"/>
      <c r="E17" s="157">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4" t="str">
        <f t="shared" si="0"/>
        <v/>
      </c>
      <c r="I17" s="496"/>
      <c r="J17" s="497"/>
    </row>
    <row r="18" spans="1:10" ht="12.75" customHeight="1">
      <c r="A18" s="303" t="str">
        <f>IF($B$2=1,IF($D$17="","",VLOOKUP(登!$D$1,立男!$A$4:$I$100,4,0)+100),IF($D$17="","",VLOOKUP(登!$D$1,立女!$A$4:$I$100,4,0)+100))</f>
        <v/>
      </c>
      <c r="B18" s="304" t="s">
        <v>17</v>
      </c>
      <c r="C18" s="305" t="str">
        <f>IF(D18="","",登!$F$1)</f>
        <v/>
      </c>
      <c r="D18" s="495"/>
      <c r="E18" s="306">
        <v>6</v>
      </c>
      <c r="F18" s="307" t="str">
        <f>IF(D18="","",IF(COUNTIF($D$13:$D$16,"")=4,"Ａチームから入力",IF(COUNTIF($D$17:D18,"")&gt;0,"大前から詰めて入力",IF(INT(VALUE(RIGHT(D18,3))/100)=$B$2,VLOOKUP(D18,登!$B$4:$I$103,7,0),"部員番号入力ミス"))))</f>
        <v/>
      </c>
      <c r="G18" s="308" t="str">
        <f>IF(D18="","",IF(INT(VALUE(RIGHT(D18,3))/100)=$B$2,IF(VLOOKUP(D18,登!$B$4:$I$103,2,0)=登!$B$1,1,IF(VLOOKUP(D18,登!$B$4:$I$103,2,0)=登!$B$1-1,2,IF(VLOOKUP(D18,登!$B$4:$I$103,2,0)=登!$B$1-2,3,"学年ミス"))),"番号ミス"))</f>
        <v/>
      </c>
      <c r="H18" s="303" t="str">
        <f t="shared" si="0"/>
        <v/>
      </c>
      <c r="I18" s="498"/>
      <c r="J18" s="499"/>
    </row>
    <row r="19" spans="1:10" ht="12.75" customHeight="1">
      <c r="A19" s="160" t="str">
        <f>IF($B$2=1,IF($D$17="","",VLOOKUP(登!$D$1,立男!$A$4:$I$100,4,0)+100),IF($D$17="","",VLOOKUP(登!$D$1,立女!$A$4:$I$100,4,0)+100))</f>
        <v/>
      </c>
      <c r="B19" s="161" t="s">
        <v>57</v>
      </c>
      <c r="C19" s="162" t="str">
        <f>IF(D19="","",登!$F$1)</f>
        <v/>
      </c>
      <c r="D19" s="64"/>
      <c r="E19" s="163">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0" t="str">
        <f t="shared" si="0"/>
        <v/>
      </c>
      <c r="I19" s="500"/>
      <c r="J19" s="501"/>
    </row>
    <row r="20" spans="1:10" ht="12.75" customHeight="1">
      <c r="A20" s="175" t="str">
        <f>IF($B$2=1,IF($D$17="","",VLOOKUP(登!$D$1,立男!$A$4:$I$100,4,0)+100),IF($D$17="","",VLOOKUP(登!$D$1,立女!$A$4:$I$100,4,0)+100))</f>
        <v/>
      </c>
      <c r="B20" s="176" t="s">
        <v>57</v>
      </c>
      <c r="C20" s="177" t="str">
        <f>IF(D20="","",登!$F$1)</f>
        <v/>
      </c>
      <c r="D20" s="66"/>
      <c r="E20" s="179">
        <v>8</v>
      </c>
      <c r="F20" s="188" t="str">
        <f>IF(D20="","",IF(COUNTIF($D$13:$D$16,"")=4,"Ａチームから入力",IF(COUNTIF($D$17:D20,"")&gt;0,"大前から詰めて入力",IF(INT(VALUE(RIGHT(D20,3))/100)=$B$2,VLOOKUP(D20,登!$B$4:$I$103,7,0),"部員番号入力ミス"))))</f>
        <v/>
      </c>
      <c r="G20" s="181" t="str">
        <f>IF(D20="","",IF(INT(VALUE(RIGHT(D20,3))/100)=$B$2,IF(VLOOKUP(D20,登!$B$4:$I$103,2,0)=登!$B$1,1,IF(VLOOKUP(D20,登!$B$4:$I$103,2,0)=登!$B$1-1,2,IF(VLOOKUP(D20,登!$B$4:$I$103,2,0)=登!$B$1-2,3,"学年ミス"))),"番号ミス"))</f>
        <v/>
      </c>
      <c r="H20" s="175" t="str">
        <f t="shared" si="0"/>
        <v/>
      </c>
      <c r="I20" s="502"/>
      <c r="J20" s="503"/>
    </row>
    <row r="21" spans="1:10" ht="12.75" customHeight="1">
      <c r="A21" s="154" t="str">
        <f>IF($B$2=1,IF($D$21="","",VLOOKUP(登!$D$1,立男!$A$4:$I$100,4,0)+200),IF($D$21="","",VLOOKUP(登!$D$1,立女!$A$4:$I$100,4,0)+200))</f>
        <v/>
      </c>
      <c r="B21" s="155" t="s">
        <v>58</v>
      </c>
      <c r="C21" s="156" t="str">
        <f>IF(D21="","",登!$F$1)</f>
        <v/>
      </c>
      <c r="D21" s="63"/>
      <c r="E21" s="157">
        <v>9</v>
      </c>
      <c r="F21" s="158" t="str">
        <f>IF(D21="","",IF(OR(COUNTIF($D$13:$D$16,"")=4,COUNTIF($D$17:$D$20,"")=4),"ＡＢチームから入力",IF(INT(VALUE(RIGHT(D21,3))/100)=$B$2,VLOOKUP(D21,登!$B$4:$I$103,7,0),"部員番号入力ミス")))</f>
        <v/>
      </c>
      <c r="G21" s="159" t="str">
        <f>IF(D21="","",IF(INT(VALUE(RIGHT(D21,3))/100)=$B$2,IF(VLOOKUP(D21,登!$B$4:$I$103,2,0)=登!$B$1,1,IF(VLOOKUP(D21,登!$B$4:$I$103,2,0)=登!$B$1-1,2,IF(VLOOKUP(D21,登!$B$4:$I$103,2,0)=登!$B$1-2,3,"学年ミス"))),"番号ミス"))</f>
        <v/>
      </c>
      <c r="H21" s="154" t="str">
        <f t="shared" si="0"/>
        <v/>
      </c>
      <c r="I21" s="496"/>
      <c r="J21" s="497"/>
    </row>
    <row r="22" spans="1:10" ht="12.75" customHeight="1">
      <c r="A22" s="303" t="str">
        <f>IF($B$2=1,IF($D$21="","",VLOOKUP(登!$D$1,立男!$A$4:$I$100,4,0)+200),IF($D$21="","",VLOOKUP(登!$D$1,立女!$A$4:$I$100,4,0)+200))</f>
        <v/>
      </c>
      <c r="B22" s="304" t="s">
        <v>58</v>
      </c>
      <c r="C22" s="305" t="str">
        <f>IF(D22="","",登!$F$1)</f>
        <v/>
      </c>
      <c r="D22" s="495"/>
      <c r="E22" s="306">
        <v>10</v>
      </c>
      <c r="F22" s="307" t="str">
        <f>IF(D22="","",IF(OR(COUNTIF($D$13:$D$16,"")=4,COUNTIF($D$17:$D$20,"")=4),"ＡＢチームから入力",IF(COUNTIF($D$21:D22,"")&gt;0,"大前から詰めて入力",IF(INT(VALUE(RIGHT(D22,3))/100)=$B$2,VLOOKUP(D22,登!$B$4:$I$103,7,0),"部員番号入力ミス"))))</f>
        <v/>
      </c>
      <c r="G22" s="308" t="str">
        <f>IF(D22="","",IF(INT(VALUE(RIGHT(D22,3))/100)=$B$2,IF(VLOOKUP(D22,登!$B$4:$I$103,2,0)=登!$B$1,1,IF(VLOOKUP(D22,登!$B$4:$I$103,2,0)=登!$B$1-1,2,IF(VLOOKUP(D22,登!$B$4:$I$103,2,0)=登!$B$1-2,3,"学年ミス"))),"番号ミス"))</f>
        <v/>
      </c>
      <c r="H22" s="303" t="str">
        <f t="shared" si="0"/>
        <v/>
      </c>
      <c r="I22" s="498"/>
      <c r="J22" s="499"/>
    </row>
    <row r="23" spans="1:10" ht="12.75" customHeight="1">
      <c r="A23" s="160" t="str">
        <f>IF($B$2=1,IF($D$21="","",VLOOKUP(登!$D$1,立男!$A$4:$I$100,4,0)+200),IF($D$21="","",VLOOKUP(登!$D$1,立女!$A$4:$I$100,4,0)+200))</f>
        <v/>
      </c>
      <c r="B23" s="161" t="s">
        <v>59</v>
      </c>
      <c r="C23" s="162" t="str">
        <f>IF(D23="","",登!$F$1)</f>
        <v/>
      </c>
      <c r="D23" s="64"/>
      <c r="E23" s="163">
        <v>11</v>
      </c>
      <c r="F23" s="164" t="str">
        <f>IF(D23="","",IF(OR(COUNTIF($D$13:$D$16,"")=4,COUNTIF($D$17:$D$20,"")=4),"ＡＢチームから入力",IF(COUNTIF($D$21:D23,"")&gt;0,"大前から詰めて入力",IF(INT(VALUE(RIGHT(D23,3))/100)=$B$2,VLOOKUP(D23,登!$B$4:$I$103,7,0),"部員番号入力ミス"))))</f>
        <v/>
      </c>
      <c r="G23" s="165" t="str">
        <f>IF(D23="","",IF(INT(VALUE(RIGHT(D23,3))/100)=$B$2,IF(VLOOKUP(D23,登!$B$4:$I$103,2,0)=登!$B$1,1,IF(VLOOKUP(D23,登!$B$4:$I$103,2,0)=登!$B$1-1,2,IF(VLOOKUP(D23,登!$B$4:$I$103,2,0)=登!$B$1-2,3,"学年ミス"))),"番号ミス"))</f>
        <v/>
      </c>
      <c r="H23" s="160" t="str">
        <f t="shared" si="0"/>
        <v/>
      </c>
      <c r="I23" s="500"/>
      <c r="J23" s="501"/>
    </row>
    <row r="24" spans="1:10" ht="12.75" customHeight="1">
      <c r="A24" s="175" t="str">
        <f>IF($B$2=1,IF($D$21="","",VLOOKUP(登!$D$1,立男!$A$4:$I$100,4,0)+200),IF($D$21="","",VLOOKUP(登!$D$1,立女!$A$4:$I$100,4,0)+200))</f>
        <v/>
      </c>
      <c r="B24" s="176" t="s">
        <v>60</v>
      </c>
      <c r="C24" s="177" t="str">
        <f>IF(D24="","",登!$F$1)</f>
        <v/>
      </c>
      <c r="D24" s="66"/>
      <c r="E24" s="179">
        <v>12</v>
      </c>
      <c r="F24" s="188" t="str">
        <f>IF(D24="","",IF(OR(COUNTIF($D$13:$D$16,"")=4,COUNTIF($D$17:$D$20,"")=4),"ＡＢチームから入力",IF(COUNTIF($D$21:D24,"")&gt;0,"大前から詰めて入力",IF(INT(VALUE(RIGHT(D24,3))/100)=$B$2,VLOOKUP(D24,登!$B$4:$I$103,7,0),"部員番号入力ミス"))))</f>
        <v/>
      </c>
      <c r="G24" s="181" t="str">
        <f>IF(D24="","",IF(INT(VALUE(RIGHT(D24,3))/100)=$B$2,IF(VLOOKUP(D24,登!$B$4:$I$103,2,0)=登!$B$1,1,IF(VLOOKUP(D24,登!$B$4:$I$103,2,0)=登!$B$1-1,2,IF(VLOOKUP(D24,登!$B$4:$I$103,2,0)=登!$B$1-2,3,"学年ミス"))),"番号ミス"))</f>
        <v/>
      </c>
      <c r="H24" s="175" t="str">
        <f t="shared" si="0"/>
        <v/>
      </c>
      <c r="I24" s="502"/>
      <c r="J24" s="503"/>
    </row>
    <row r="25" spans="1:10" ht="12.75" customHeight="1">
      <c r="A25" s="154" t="str">
        <f>IF($B$2=1,IF($D$25="","",VLOOKUP(登!$D$1,立男!$A$4:$I$100,4,0)+300),IF($D$25="","",VLOOKUP(登!$D$1,立女!$A$4:$I$100,4,0)+300))</f>
        <v/>
      </c>
      <c r="B25" s="155" t="s">
        <v>61</v>
      </c>
      <c r="C25" s="156" t="str">
        <f>IF(D25="","",登!$F$1)</f>
        <v/>
      </c>
      <c r="D25" s="172" t="str">
        <f>IF(D16="","",D16)</f>
        <v/>
      </c>
      <c r="E25" s="157">
        <v>4</v>
      </c>
      <c r="F25" s="173" t="str">
        <f>IF(F16="","",F16)</f>
        <v/>
      </c>
      <c r="G25" s="159" t="str">
        <f>IF(D25="","",IF(INT(VALUE(RIGHT(D25,3))/100)=$B$2,IF(VLOOKUP(D25,登!$B$4:$I$103,2,0)=登!$B$1,1,IF(VLOOKUP(D25,登!$B$4:$I$103,2,0)=登!$B$1-1,2,IF(VLOOKUP(D25,登!$B$4:$I$103,2,0)=登!$B$1-2,3,"学年ミス"))),"番号ミス"))</f>
        <v/>
      </c>
      <c r="H25" s="174"/>
      <c r="I25" s="309" t="str">
        <f>IF(I16="","",I16)</f>
        <v/>
      </c>
      <c r="J25" s="310" t="str">
        <f>IF(J16="","",J16)</f>
        <v/>
      </c>
    </row>
    <row r="26" spans="1:10" ht="12.75" customHeight="1">
      <c r="A26" s="160" t="str">
        <f>IF($B$2=1,IF($D$25="","",VLOOKUP(登!$D$1,立男!$A$4:$I$100,4,0)+300),IF($D$25="","",VLOOKUP(登!$D$1,立女!$A$4:$I$100,4,0)+300))</f>
        <v/>
      </c>
      <c r="B26" s="161" t="s">
        <v>57</v>
      </c>
      <c r="C26" s="162" t="str">
        <f>IF(D26="","",登!$F$1)</f>
        <v/>
      </c>
      <c r="D26" s="332" t="str">
        <f>IF(D20="","",D20)</f>
        <v/>
      </c>
      <c r="E26" s="163">
        <v>8</v>
      </c>
      <c r="F26" s="333" t="str">
        <f>IF(F20="","",F20)</f>
        <v/>
      </c>
      <c r="G26" s="165" t="str">
        <f>IF(D26="","",IF(INT(VALUE(RIGHT(D26,3))/100)=$B$2,IF(VLOOKUP(D26,登!$B$4:$I$103,2,0)=登!$B$1,1,IF(VLOOKUP(D26,登!$B$4:$I$103,2,0)=登!$B$1-1,2,IF(VLOOKUP(D26,登!$B$4:$I$103,2,0)=登!$B$1-2,3,"学年ミス"))),"番号ミス"))</f>
        <v/>
      </c>
      <c r="H26" s="334"/>
      <c r="I26" s="335" t="str">
        <f>IF(I20="","",I20)</f>
        <v/>
      </c>
      <c r="J26" s="336" t="str">
        <f>IF(J20="","",J20)</f>
        <v/>
      </c>
    </row>
    <row r="27" spans="1:10" ht="12.75" customHeight="1">
      <c r="A27" s="175" t="str">
        <f>IF($B$2=1,IF($D$25="","",VLOOKUP(登!$D$1,立男!$A$4:$I$100,4,0)+300),IF($D$25="","",VLOOKUP(登!$D$1,立女!$A$4:$I$100,4,0)+300))</f>
        <v/>
      </c>
      <c r="B27" s="176" t="s">
        <v>60</v>
      </c>
      <c r="C27" s="177" t="str">
        <f>IF(D27="","",登!$F$1)</f>
        <v/>
      </c>
      <c r="D27" s="178" t="str">
        <f>IF(D24="","",D24)</f>
        <v/>
      </c>
      <c r="E27" s="179">
        <v>12</v>
      </c>
      <c r="F27" s="180" t="str">
        <f>IF(F24="","",F24)</f>
        <v/>
      </c>
      <c r="G27" s="181" t="str">
        <f>IF(D27="","",IF(INT(VALUE(RIGHT(D27,3))/100)=$B$2,IF(VLOOKUP(D27,登!$B$4:$I$103,2,0)=登!$B$1,1,IF(VLOOKUP(D27,登!$B$4:$I$103,2,0)=登!$B$1-1,2,IF(VLOOKUP(D27,登!$B$4:$I$103,2,0)=登!$B$1-2,3,"学年ミス"))),"番号ミス"))</f>
        <v/>
      </c>
      <c r="H27" s="182"/>
      <c r="I27" s="311" t="str">
        <f>IF(I24="","",I24)</f>
        <v/>
      </c>
      <c r="J27" s="312" t="str">
        <f>IF(J24="","",J24)</f>
        <v/>
      </c>
    </row>
    <row r="28" spans="1:10" ht="12.75" customHeight="1">
      <c r="B28" s="183" t="s">
        <v>263</v>
      </c>
      <c r="C28" s="184"/>
      <c r="D28" s="184"/>
      <c r="E28" s="184"/>
      <c r="F28" s="184"/>
      <c r="G28" s="184"/>
    </row>
    <row r="29" spans="1:10" ht="22.5" customHeight="1">
      <c r="B29" s="414" t="str">
        <f>IF(B2=1,"男　子　個　人　参　加　申　込　書","女　子　個　人　参　加　申　込　書")</f>
        <v>女　子　個　人　参　加　申　込　書</v>
      </c>
      <c r="C29" s="414"/>
      <c r="D29" s="414"/>
      <c r="E29" s="414"/>
      <c r="F29" s="414"/>
      <c r="G29" s="414"/>
      <c r="I29" s="451" t="s">
        <v>53</v>
      </c>
      <c r="J29" s="452"/>
    </row>
    <row r="30" spans="1:10" ht="12.75" customHeight="1">
      <c r="A30" s="340" t="s">
        <v>32</v>
      </c>
      <c r="B30" s="148" t="s">
        <v>51</v>
      </c>
      <c r="C30" s="152" t="s">
        <v>10</v>
      </c>
      <c r="D30" s="150" t="s">
        <v>33</v>
      </c>
      <c r="E30" s="152" t="s">
        <v>12</v>
      </c>
      <c r="F30" s="152" t="s">
        <v>13</v>
      </c>
      <c r="G30" s="153" t="s">
        <v>14</v>
      </c>
      <c r="H30" s="340" t="s">
        <v>47</v>
      </c>
      <c r="I30" s="340" t="s">
        <v>54</v>
      </c>
      <c r="J30" s="340" t="s">
        <v>55</v>
      </c>
    </row>
    <row r="31" spans="1:10" ht="12.75" customHeight="1">
      <c r="A31" s="154" t="str">
        <f>IF($B$2=1,IF($D$31="","",VLOOKUP(登!$D$1,立男!$A$4:$I$100,4,0)+400),IF($D$31="","",VLOOKUP(登!$D$1,立女!$A$4:$I$100,4,0)+400))</f>
        <v/>
      </c>
      <c r="B31" s="155" t="s">
        <v>21</v>
      </c>
      <c r="C31" s="185" t="str">
        <f>IF(D31="","",登!$F$1)</f>
        <v/>
      </c>
      <c r="D31" s="63"/>
      <c r="E31" s="185">
        <v>13</v>
      </c>
      <c r="F31" s="158" t="str">
        <f>IF(D31="","",IF(COUNTIF($D$13:$D$24,"")&gt;0,"団体から入力",IF(INT(VALUE(RIGHT(D31,3))/100)=$B$2,VLOOKUP(D31,登!$B$4:$I$103,7,0),"部員番号入力ミス")))</f>
        <v/>
      </c>
      <c r="G31" s="159" t="str">
        <f>IF(D31="","",IF(INT(VALUE(RIGHT(D31,3))/100)=$B$2,IF(VLOOKUP(D31,登!$B$4:$I$103,2,0)=登!$B$1,1,IF(VLOOKUP(D31,登!$B$4:$I$103,2,0)=登!$B$1-1,2,IF(VLOOKUP(D31,登!$B$4:$I$103,2,0)=登!$B$1-2,3,"学年ミス"))),"番号ミス"))</f>
        <v/>
      </c>
      <c r="H31" s="154" t="str">
        <f t="shared" ref="H31:H57" si="1">IF(D31="","",IF(COUNTIF($D$13:$D$24,D31)+COUNTIF($D$31:$D$57,D31)&gt;1,"選手重複!!","OK"))</f>
        <v/>
      </c>
      <c r="I31" s="496"/>
      <c r="J31" s="497"/>
    </row>
    <row r="32" spans="1:10" ht="12.75" customHeight="1">
      <c r="A32" s="160" t="str">
        <f>IF($B$2=1,IF($D$31="","",VLOOKUP(登!$D$1,立男!$A$4:$I$100,4,0)+400),IF($D$31="","",VLOOKUP(登!$D$1,立女!$A$4:$I$100,4,0)+400))</f>
        <v/>
      </c>
      <c r="B32" s="161" t="s">
        <v>21</v>
      </c>
      <c r="C32" s="186" t="str">
        <f>IF(D32="","",登!$F$1)</f>
        <v/>
      </c>
      <c r="D32" s="64"/>
      <c r="E32" s="186">
        <v>14</v>
      </c>
      <c r="F32" s="164" t="str">
        <f>IF(D32="","",IF(COUNTIF($D$13:$D$24,"")&gt;0,"団体から入力",IF(COUNTIF($D$31:D32,"")&gt;0,"上から詰めて入力",IF(INT(VALUE(RIGHT(D32,3))/100)=$B$2,VLOOKUP(D32,登!$B$4:$I$103,7,0),"部員番号入力ミス"))))</f>
        <v/>
      </c>
      <c r="G32" s="165" t="str">
        <f>IF(D32="","",IF(INT(VALUE(RIGHT(D32,3))/100)=$B$2,IF(VLOOKUP(D32,登!$B$4:$I$103,2,0)=登!$B$1,1,IF(VLOOKUP(D32,登!$B$4:$I$103,2,0)=登!$B$1-1,2,IF(VLOOKUP(D32,登!$B$4:$I$103,2,0)=登!$B$1-2,3,"学年ミス"))),"番号ミス"))</f>
        <v/>
      </c>
      <c r="H32" s="160" t="str">
        <f t="shared" si="1"/>
        <v/>
      </c>
      <c r="I32" s="500"/>
      <c r="J32" s="501"/>
    </row>
    <row r="33" spans="1:12" ht="12.75" customHeight="1">
      <c r="A33" s="175" t="str">
        <f>IF($B$2=1,IF($D$31="","",VLOOKUP(登!$D$1,立男!$A$4:$I$100,4,0)+400),IF($D$31="","",VLOOKUP(登!$D$1,立女!$A$4:$I$100,4,0)+400))</f>
        <v/>
      </c>
      <c r="B33" s="176" t="s">
        <v>21</v>
      </c>
      <c r="C33" s="187" t="str">
        <f>IF(D33="","",登!$F$1)</f>
        <v/>
      </c>
      <c r="D33" s="66"/>
      <c r="E33" s="187">
        <v>15</v>
      </c>
      <c r="F33" s="188" t="str">
        <f>IF(D33="","",IF(COUNTIF($D$13:$D$24,"")&gt;0,"団体から入力",IF(COUNTIF($D$31:D33,"")&gt;0,"上から詰めて入力",IF(INT(VALUE(RIGHT(D33,3))/100)=$B$2,VLOOKUP(D33,登!$B$4:$I$103,7,0),"部員番号入力ミス"))))</f>
        <v/>
      </c>
      <c r="G33" s="181" t="str">
        <f>IF(D33="","",IF(INT(VALUE(RIGHT(D33,3))/100)=$B$2,IF(VLOOKUP(D33,登!$B$4:$I$103,2,0)=登!$B$1,1,IF(VLOOKUP(D33,登!$B$4:$I$103,2,0)=登!$B$1-1,2,IF(VLOOKUP(D33,登!$B$4:$I$103,2,0)=登!$B$1-2,3,"学年ミス"))),"番号ミス"))</f>
        <v/>
      </c>
      <c r="H33" s="175" t="str">
        <f t="shared" si="1"/>
        <v/>
      </c>
      <c r="I33" s="502"/>
      <c r="J33" s="503"/>
    </row>
    <row r="34" spans="1:12" ht="12.75" customHeight="1">
      <c r="A34" s="154" t="str">
        <f>IF($B$2=1,IF($D$34="","",VLOOKUP(登!$D$1,立男!$A$4:$I$100,4,0)+500),IF($D$34="","",VLOOKUP(登!$D$1,立女!$A$4:$I$100,4,0)+500))</f>
        <v/>
      </c>
      <c r="B34" s="155" t="s">
        <v>21</v>
      </c>
      <c r="C34" s="185" t="str">
        <f>IF(D34="","",登!$F$1)</f>
        <v/>
      </c>
      <c r="D34" s="63"/>
      <c r="E34" s="185">
        <v>16</v>
      </c>
      <c r="F34" s="158" t="str">
        <f>IF(D34="","",IF(COUNTIF($D$13:$D$24,"")&gt;0,"団体から入力",IF(COUNTIF($D$31:D34,"")&gt;0,"上から詰めて入力",IF(INT(VALUE(RIGHT(D34,3))/100)=$B$2,VLOOKUP(D34,登!$B$4:$I$103,7,0),"部員番号入力ミス"))))</f>
        <v/>
      </c>
      <c r="G34" s="159" t="str">
        <f>IF(D34="","",IF(INT(VALUE(RIGHT(D34,3))/100)=$B$2,IF(VLOOKUP(D34,登!$B$4:$I$103,2,0)=登!$B$1,1,IF(VLOOKUP(D34,登!$B$4:$I$103,2,0)=登!$B$1-1,2,IF(VLOOKUP(D34,登!$B$4:$I$103,2,0)=登!$B$1-2,3,"学年ミス"))),"番号ミス"))</f>
        <v/>
      </c>
      <c r="H34" s="154" t="str">
        <f t="shared" si="1"/>
        <v/>
      </c>
      <c r="I34" s="496"/>
      <c r="J34" s="497"/>
    </row>
    <row r="35" spans="1:12" ht="12.75" customHeight="1">
      <c r="A35" s="160" t="str">
        <f>IF($B$2=1,IF($D$34="","",VLOOKUP(登!$D$1,立男!$A$4:$I$100,4,0)+500),IF($D$34="","",VLOOKUP(登!$D$1,立女!$A$4:$I$100,4,0)+500))</f>
        <v/>
      </c>
      <c r="B35" s="161" t="s">
        <v>21</v>
      </c>
      <c r="C35" s="186" t="str">
        <f>IF(D35="","",登!$F$1)</f>
        <v/>
      </c>
      <c r="D35" s="64"/>
      <c r="E35" s="186">
        <v>17</v>
      </c>
      <c r="F35" s="164" t="str">
        <f>IF(D35="","",IF(COUNTIF($D$13:$D$24,"")&gt;0,"団体から入力",IF(COUNTIF($D$31:D35,"")&gt;0,"上から詰めて入力",IF(INT(VALUE(RIGHT(D35,3))/100)=$B$2,VLOOKUP(D35,登!$B$4:$I$103,7,0),"部員番号入力ミス"))))</f>
        <v/>
      </c>
      <c r="G35" s="165" t="str">
        <f>IF(D35="","",IF(INT(VALUE(RIGHT(D35,3))/100)=$B$2,IF(VLOOKUP(D35,登!$B$4:$I$103,2,0)=登!$B$1,1,IF(VLOOKUP(D35,登!$B$4:$I$103,2,0)=登!$B$1-1,2,IF(VLOOKUP(D35,登!$B$4:$I$103,2,0)=登!$B$1-2,3,"学年ミス"))),"番号ミス"))</f>
        <v/>
      </c>
      <c r="H35" s="160" t="str">
        <f t="shared" si="1"/>
        <v/>
      </c>
      <c r="I35" s="500"/>
      <c r="J35" s="501"/>
    </row>
    <row r="36" spans="1:12" ht="12.75" customHeight="1">
      <c r="A36" s="175" t="str">
        <f>IF($B$2=1,IF($D$34="","",VLOOKUP(登!$D$1,立男!$A$4:$I$100,4,0)+500),IF($D$34="","",VLOOKUP(登!$D$1,立女!$A$4:$I$100,4,0)+500))</f>
        <v/>
      </c>
      <c r="B36" s="176" t="s">
        <v>21</v>
      </c>
      <c r="C36" s="187" t="str">
        <f>IF(D36="","",登!$F$1)</f>
        <v/>
      </c>
      <c r="D36" s="66"/>
      <c r="E36" s="187">
        <v>18</v>
      </c>
      <c r="F36" s="188" t="str">
        <f>IF(D36="","",IF(COUNTIF($D$13:$D$24,"")&gt;0,"団体から入力",IF(COUNTIF($D$31:D36,"")&gt;0,"上から詰めて入力",IF(INT(VALUE(RIGHT(D36,3))/100)=$B$2,VLOOKUP(D36,登!$B$4:$I$103,7,0),"部員番号入力ミス"))))</f>
        <v/>
      </c>
      <c r="G36" s="181" t="str">
        <f>IF(D36="","",IF(INT(VALUE(RIGHT(D36,3))/100)=$B$2,IF(VLOOKUP(D36,登!$B$4:$I$103,2,0)=登!$B$1,1,IF(VLOOKUP(D36,登!$B$4:$I$103,2,0)=登!$B$1-1,2,IF(VLOOKUP(D36,登!$B$4:$I$103,2,0)=登!$B$1-2,3,"学年ミス"))),"番号ミス"))</f>
        <v/>
      </c>
      <c r="H36" s="175" t="str">
        <f t="shared" si="1"/>
        <v/>
      </c>
      <c r="I36" s="502"/>
      <c r="J36" s="503"/>
    </row>
    <row r="37" spans="1:12" ht="12.75" customHeight="1">
      <c r="A37" s="154" t="str">
        <f>IF($B$2=1,IF($D$37="","",VLOOKUP(登!$D$1,立男!$A$4:$I$100,4,0)+600),IF($D$37="","",VLOOKUP(登!$D$1,立女!$A$4:$I$100,4,0)+600))</f>
        <v/>
      </c>
      <c r="B37" s="155" t="s">
        <v>21</v>
      </c>
      <c r="C37" s="185" t="str">
        <f>IF(D37="","",登!$F$1)</f>
        <v/>
      </c>
      <c r="D37" s="63"/>
      <c r="E37" s="185">
        <v>19</v>
      </c>
      <c r="F37" s="158" t="str">
        <f>IF(D37="","",IF(COUNTIF($D$13:$D$24,"")&gt;0,"団体から入力",IF(COUNTIF($D$31:D37,"")&gt;0,"上から詰めて入力",IF(INT(VALUE(RIGHT(D37,3))/100)=$B$2,VLOOKUP(D37,登!$B$4:$I$103,7,0),"部員番号入力ミス"))))</f>
        <v/>
      </c>
      <c r="G37" s="159" t="str">
        <f>IF(D37="","",IF(INT(VALUE(RIGHT(D37,3))/100)=$B$2,IF(VLOOKUP(D37,登!$B$4:$I$103,2,0)=登!$B$1,1,IF(VLOOKUP(D37,登!$B$4:$I$103,2,0)=登!$B$1-1,2,IF(VLOOKUP(D37,登!$B$4:$I$103,2,0)=登!$B$1-2,3,"学年ミス"))),"番号ミス"))</f>
        <v/>
      </c>
      <c r="H37" s="154" t="str">
        <f t="shared" si="1"/>
        <v/>
      </c>
      <c r="I37" s="496"/>
      <c r="J37" s="497"/>
    </row>
    <row r="38" spans="1:12" ht="12.75" customHeight="1">
      <c r="A38" s="160" t="str">
        <f>IF($B$2=1,IF($D$37="","",VLOOKUP(登!$D$1,立男!$A$4:$I$100,4,0)+600),IF($D$37="","",VLOOKUP(登!$D$1,立女!$A$4:$I$100,4,0)+600))</f>
        <v/>
      </c>
      <c r="B38" s="161" t="s">
        <v>21</v>
      </c>
      <c r="C38" s="186" t="str">
        <f>IF(D38="","",登!$F$1)</f>
        <v/>
      </c>
      <c r="D38" s="64"/>
      <c r="E38" s="186">
        <v>20</v>
      </c>
      <c r="F38" s="164" t="str">
        <f>IF(D38="","",IF(COUNTIF($D$13:$D$24,"")&gt;0,"団体から入力",IF(COUNTIF($D$31:D38,"")&gt;0,"上から詰めて入力",IF(INT(VALUE(RIGHT(D38,3))/100)=$B$2,VLOOKUP(D38,登!$B$4:$I$103,7,0),"部員番号入力ミス"))))</f>
        <v/>
      </c>
      <c r="G38" s="165" t="str">
        <f>IF(D38="","",IF(INT(VALUE(RIGHT(D38,3))/100)=$B$2,IF(VLOOKUP(D38,登!$B$4:$I$103,2,0)=登!$B$1,1,IF(VLOOKUP(D38,登!$B$4:$I$103,2,0)=登!$B$1-1,2,IF(VLOOKUP(D38,登!$B$4:$I$103,2,0)=登!$B$1-2,3,"学年ミス"))),"番号ミス"))</f>
        <v/>
      </c>
      <c r="H38" s="160" t="str">
        <f t="shared" si="1"/>
        <v/>
      </c>
      <c r="I38" s="500"/>
      <c r="J38" s="501"/>
    </row>
    <row r="39" spans="1:12" ht="12.75" customHeight="1">
      <c r="A39" s="175" t="str">
        <f>IF($B$2=1,IF($D$37="","",VLOOKUP(登!$D$1,立男!$A$4:$I$100,4,0)+600),IF($D$37="","",VLOOKUP(登!$D$1,立女!$A$4:$I$100,4,0)+600))</f>
        <v/>
      </c>
      <c r="B39" s="176" t="s">
        <v>21</v>
      </c>
      <c r="C39" s="187" t="str">
        <f>IF(D39="","",登!$F$1)</f>
        <v/>
      </c>
      <c r="D39" s="66"/>
      <c r="E39" s="187">
        <v>21</v>
      </c>
      <c r="F39" s="188" t="str">
        <f>IF(D39="","",IF(COUNTIF($D$13:$D$24,"")&gt;0,"団体から入力",IF(COUNTIF($D$31:D39,"")&gt;0,"上から詰めて入力",IF(INT(VALUE(RIGHT(D39,3))/100)=$B$2,VLOOKUP(D39,登!$B$4:$I$103,7,0),"部員番号入力ミス"))))</f>
        <v/>
      </c>
      <c r="G39" s="181" t="str">
        <f>IF(D39="","",IF(INT(VALUE(RIGHT(D39,3))/100)=$B$2,IF(VLOOKUP(D39,登!$B$4:$I$103,2,0)=登!$B$1,1,IF(VLOOKUP(D39,登!$B$4:$I$103,2,0)=登!$B$1-1,2,IF(VLOOKUP(D39,登!$B$4:$I$103,2,0)=登!$B$1-2,3,"学年ミス"))),"番号ミス"))</f>
        <v/>
      </c>
      <c r="H39" s="175" t="str">
        <f t="shared" si="1"/>
        <v/>
      </c>
      <c r="I39" s="502"/>
      <c r="J39" s="503"/>
      <c r="L39" s="147"/>
    </row>
    <row r="40" spans="1:12" ht="12.75" customHeight="1">
      <c r="A40" s="154" t="str">
        <f>IF($B$2=1,IF($D$40="","",VLOOKUP(登!$D$1,立男!$A$4:$I$100,4,0)+700),IF($D$40="","",VLOOKUP(登!$D$1,立女!$A$4:$I$100,4,0)+700))</f>
        <v/>
      </c>
      <c r="B40" s="155" t="s">
        <v>21</v>
      </c>
      <c r="C40" s="185" t="str">
        <f>IF(D40="","",登!$F$1)</f>
        <v/>
      </c>
      <c r="D40" s="63"/>
      <c r="E40" s="185">
        <v>22</v>
      </c>
      <c r="F40" s="158" t="str">
        <f>IF(D40="","",IF(COUNTIF($D$13:$D$24,"")&gt;0,"団体から入力",IF(COUNTIF($D$31:D40,"")&gt;0,"上から詰めて入力",IF(INT(VALUE(RIGHT(D40,3))/100)=$B$2,VLOOKUP(D40,登!$B$4:$I$103,7,0),"部員番号入力ミス"))))</f>
        <v/>
      </c>
      <c r="G40" s="159" t="str">
        <f>IF(D40="","",IF(INT(VALUE(RIGHT(D40,3))/100)=$B$2,IF(VLOOKUP(D40,登!$B$4:$I$103,2,0)=登!$B$1,1,IF(VLOOKUP(D40,登!$B$4:$I$103,2,0)=登!$B$1-1,2,IF(VLOOKUP(D40,登!$B$4:$I$103,2,0)=登!$B$1-2,3,"学年ミス"))),"番号ミス"))</f>
        <v/>
      </c>
      <c r="H40" s="154" t="str">
        <f t="shared" si="1"/>
        <v/>
      </c>
      <c r="I40" s="496"/>
      <c r="J40" s="497"/>
      <c r="L40" s="147"/>
    </row>
    <row r="41" spans="1:12" ht="12.75" customHeight="1">
      <c r="A41" s="160" t="str">
        <f>IF($B$2=1,IF($D$40="","",VLOOKUP(登!$D$1,立男!$A$4:$I$100,4,0)+700),IF($D$40="","",VLOOKUP(登!$D$1,立女!$A$4:$I$100,4,0)+700))</f>
        <v/>
      </c>
      <c r="B41" s="161" t="s">
        <v>21</v>
      </c>
      <c r="C41" s="186" t="str">
        <f>IF(D41="","",登!$F$1)</f>
        <v/>
      </c>
      <c r="D41" s="64"/>
      <c r="E41" s="186">
        <v>23</v>
      </c>
      <c r="F41" s="164" t="str">
        <f>IF(D41="","",IF(COUNTIF($D$13:$D$24,"")&gt;0,"団体から入力",IF(COUNTIF($D$31:D41,"")&gt;0,"上から詰めて入力",IF(INT(VALUE(RIGHT(D41,3))/100)=$B$2,VLOOKUP(D41,登!$B$4:$I$103,7,0),"部員番号入力ミス"))))</f>
        <v/>
      </c>
      <c r="G41" s="165" t="str">
        <f>IF(D41="","",IF(INT(VALUE(RIGHT(D41,3))/100)=$B$2,IF(VLOOKUP(D41,登!$B$4:$I$103,2,0)=登!$B$1,1,IF(VLOOKUP(D41,登!$B$4:$I$103,2,0)=登!$B$1-1,2,IF(VLOOKUP(D41,登!$B$4:$I$103,2,0)=登!$B$1-2,3,"学年ミス"))),"番号ミス"))</f>
        <v/>
      </c>
      <c r="H41" s="160" t="str">
        <f t="shared" si="1"/>
        <v/>
      </c>
      <c r="I41" s="500"/>
      <c r="J41" s="501"/>
      <c r="L41" s="147"/>
    </row>
    <row r="42" spans="1:12" ht="12.75" customHeight="1">
      <c r="A42" s="175" t="str">
        <f>IF($B$2=1,IF($D$40="","",VLOOKUP(登!$D$1,立男!$A$4:$I$100,4,0)+700),IF($D$40="","",VLOOKUP(登!$D$1,立女!$A$4:$I$100,4,0)+700))</f>
        <v/>
      </c>
      <c r="B42" s="176" t="s">
        <v>21</v>
      </c>
      <c r="C42" s="187" t="str">
        <f>IF(D42="","",登!$F$1)</f>
        <v/>
      </c>
      <c r="D42" s="66"/>
      <c r="E42" s="187">
        <v>24</v>
      </c>
      <c r="F42" s="188" t="str">
        <f>IF(D42="","",IF(COUNTIF($D$13:$D$24,"")&gt;0,"団体から入力",IF(COUNTIF($D$31:D42,"")&gt;0,"上から詰めて入力",IF(INT(VALUE(RIGHT(D42,3))/100)=$B$2,VLOOKUP(D42,登!$B$4:$I$103,7,0),"部員番号入力ミス"))))</f>
        <v/>
      </c>
      <c r="G42" s="181" t="str">
        <f>IF(D42="","",IF(INT(VALUE(RIGHT(D42,3))/100)=$B$2,IF(VLOOKUP(D42,登!$B$4:$I$103,2,0)=登!$B$1,1,IF(VLOOKUP(D42,登!$B$4:$I$103,2,0)=登!$B$1-1,2,IF(VLOOKUP(D42,登!$B$4:$I$103,2,0)=登!$B$1-2,3,"学年ミス"))),"番号ミス"))</f>
        <v/>
      </c>
      <c r="H42" s="175" t="str">
        <f t="shared" si="1"/>
        <v/>
      </c>
      <c r="I42" s="502"/>
      <c r="J42" s="503"/>
      <c r="L42" s="147"/>
    </row>
    <row r="43" spans="1:12" ht="12.75" customHeight="1">
      <c r="A43" s="154" t="str">
        <f>IF($B$2=1,IF($D$43="","",VLOOKUP(登!$D$1,立男!$A$4:$I$100,4,0)+800),IF($D$43="","",VLOOKUP(登!$D$1,立女!$A$4:$I$100,4,0)+800))</f>
        <v/>
      </c>
      <c r="B43" s="155" t="s">
        <v>21</v>
      </c>
      <c r="C43" s="185" t="str">
        <f>IF(D43="","",登!$F$1)</f>
        <v/>
      </c>
      <c r="D43" s="63"/>
      <c r="E43" s="185">
        <v>25</v>
      </c>
      <c r="F43" s="158" t="str">
        <f>IF(D43="","",IF(COUNTIF($D$13:$D$24,"")&gt;0,"団体から入力",IF(COUNTIF($D$31:D43,"")&gt;0,"上から詰めて入力",IF(INT(VALUE(RIGHT(D43,3))/100)=$B$2,VLOOKUP(D43,登!$B$4:$I$103,7,0),"部員番号入力ミス"))))</f>
        <v/>
      </c>
      <c r="G43" s="159" t="str">
        <f>IF(D43="","",IF(INT(VALUE(RIGHT(D43,3))/100)=$B$2,IF(VLOOKUP(D43,登!$B$4:$I$103,2,0)=登!$B$1,1,IF(VLOOKUP(D43,登!$B$4:$I$103,2,0)=登!$B$1-1,2,IF(VLOOKUP(D43,登!$B$4:$I$103,2,0)=登!$B$1-2,3,"学年ミス"))),"番号ミス"))</f>
        <v/>
      </c>
      <c r="H43" s="154" t="str">
        <f t="shared" si="1"/>
        <v/>
      </c>
      <c r="I43" s="496"/>
      <c r="J43" s="497"/>
      <c r="L43" s="147"/>
    </row>
    <row r="44" spans="1:12" ht="12.75" customHeight="1">
      <c r="A44" s="160" t="str">
        <f>IF($B$2=1,IF($D$43="","",VLOOKUP(登!$D$1,立男!$A$4:$I$100,4,0)+800),IF($D$43="","",VLOOKUP(登!$D$1,立女!$A$4:$I$100,4,0)+800))</f>
        <v/>
      </c>
      <c r="B44" s="161" t="s">
        <v>21</v>
      </c>
      <c r="C44" s="186" t="str">
        <f>IF(D44="","",登!$F$1)</f>
        <v/>
      </c>
      <c r="D44" s="64"/>
      <c r="E44" s="186">
        <v>26</v>
      </c>
      <c r="F44" s="164" t="str">
        <f>IF(D44="","",IF(COUNTIF($D$13:$D$24,"")&gt;0,"団体から入力",IF(COUNTIF($D$31:D44,"")&gt;0,"上から詰めて入力",IF(INT(VALUE(RIGHT(D44,3))/100)=$B$2,VLOOKUP(D44,登!$B$4:$I$103,7,0),"部員番号入力ミス"))))</f>
        <v/>
      </c>
      <c r="G44" s="165" t="str">
        <f>IF(D44="","",IF(INT(VALUE(RIGHT(D44,3))/100)=$B$2,IF(VLOOKUP(D44,登!$B$4:$I$103,2,0)=登!$B$1,1,IF(VLOOKUP(D44,登!$B$4:$I$103,2,0)=登!$B$1-1,2,IF(VLOOKUP(D44,登!$B$4:$I$103,2,0)=登!$B$1-2,3,"学年ミス"))),"番号ミス"))</f>
        <v/>
      </c>
      <c r="H44" s="160" t="str">
        <f t="shared" si="1"/>
        <v/>
      </c>
      <c r="I44" s="500"/>
      <c r="J44" s="501"/>
    </row>
    <row r="45" spans="1:12" ht="12.75" customHeight="1">
      <c r="A45" s="175" t="str">
        <f>IF($B$2=1,IF($D$43="","",VLOOKUP(登!$D$1,立男!$A$4:$I$100,4,0)+800),IF($D$43="","",VLOOKUP(登!$D$1,立女!$A$4:$I$100,4,0)+800))</f>
        <v/>
      </c>
      <c r="B45" s="176" t="s">
        <v>21</v>
      </c>
      <c r="C45" s="187" t="str">
        <f>IF(D45="","",登!$F$1)</f>
        <v/>
      </c>
      <c r="D45" s="66"/>
      <c r="E45" s="187">
        <v>27</v>
      </c>
      <c r="F45" s="188" t="str">
        <f>IF(D45="","",IF(COUNTIF($D$13:$D$24,"")&gt;0,"団体から入力",IF(COUNTIF($D$31:D45,"")&gt;0,"上から詰めて入力",IF(INT(VALUE(RIGHT(D45,3))/100)=$B$2,VLOOKUP(D45,登!$B$4:$I$103,7,0),"部員番号入力ミス"))))</f>
        <v/>
      </c>
      <c r="G45" s="181" t="str">
        <f>IF(D45="","",IF(INT(VALUE(RIGHT(D45,3))/100)=$B$2,IF(VLOOKUP(D45,登!$B$4:$I$103,2,0)=登!$B$1,1,IF(VLOOKUP(D45,登!$B$4:$I$103,2,0)=登!$B$1-1,2,IF(VLOOKUP(D45,登!$B$4:$I$103,2,0)=登!$B$1-2,3,"学年ミス"))),"番号ミス"))</f>
        <v/>
      </c>
      <c r="H45" s="175" t="str">
        <f t="shared" si="1"/>
        <v/>
      </c>
      <c r="I45" s="502"/>
      <c r="J45" s="503"/>
    </row>
    <row r="46" spans="1:12" ht="12.75" customHeight="1">
      <c r="A46" s="154" t="str">
        <f>IF($B$2=1,IF($D$46="","",VLOOKUP(登!$D$1,立男!$A$4:$I$100,4,0)+900),IF($D$46="","",VLOOKUP(登!$D$1,立女!$A$4:$I$100,4,0)+900))</f>
        <v/>
      </c>
      <c r="B46" s="155" t="s">
        <v>21</v>
      </c>
      <c r="C46" s="185" t="str">
        <f>IF(D46="","",登!$F$1)</f>
        <v/>
      </c>
      <c r="D46" s="63"/>
      <c r="E46" s="185">
        <v>28</v>
      </c>
      <c r="F46" s="158" t="str">
        <f>IF(D46="","",IF(COUNTIF($D$13:$D$24,"")&gt;0,"団体から入力",IF(COUNTIF($D$31:D46,"")&gt;0,"上から詰めて入力",IF(INT(VALUE(RIGHT(D46,3))/100)=$B$2,VLOOKUP(D46,登!$B$4:$I$103,7,0),"部員番号入力ミス"))))</f>
        <v/>
      </c>
      <c r="G46" s="159" t="str">
        <f>IF(D46="","",IF(INT(VALUE(RIGHT(D46,3))/100)=$B$2,IF(VLOOKUP(D46,登!$B$4:$I$103,2,0)=登!$B$1,1,IF(VLOOKUP(D46,登!$B$4:$I$103,2,0)=登!$B$1-1,2,IF(VLOOKUP(D46,登!$B$4:$I$103,2,0)=登!$B$1-2,3,"学年ミス"))),"番号ミス"))</f>
        <v/>
      </c>
      <c r="H46" s="154" t="str">
        <f t="shared" si="1"/>
        <v/>
      </c>
      <c r="I46" s="496"/>
      <c r="J46" s="497"/>
    </row>
    <row r="47" spans="1:12" ht="12.75" customHeight="1">
      <c r="A47" s="160" t="str">
        <f>IF($B$2=1,IF($D$46="","",VLOOKUP(登!$D$1,立男!$A$4:$I$100,4,0)+900),IF($D$46="","",VLOOKUP(登!$D$1,立女!$A$4:$I$100,4,0)+900))</f>
        <v/>
      </c>
      <c r="B47" s="161" t="s">
        <v>21</v>
      </c>
      <c r="C47" s="186" t="str">
        <f>IF(D47="","",登!$F$1)</f>
        <v/>
      </c>
      <c r="D47" s="64"/>
      <c r="E47" s="186">
        <v>29</v>
      </c>
      <c r="F47" s="164" t="str">
        <f>IF(D47="","",IF(COUNTIF($D$13:$D$24,"")&gt;0,"団体から入力",IF(COUNTIF($D$31:D47,"")&gt;0,"上から詰めて入力",IF(INT(VALUE(RIGHT(D47,3))/100)=$B$2,VLOOKUP(D47,登!$B$4:$I$103,7,0),"部員番号入力ミス"))))</f>
        <v/>
      </c>
      <c r="G47" s="165" t="str">
        <f>IF(D47="","",IF(INT(VALUE(RIGHT(D47,3))/100)=$B$2,IF(VLOOKUP(D47,登!$B$4:$I$103,2,0)=登!$B$1,1,IF(VLOOKUP(D47,登!$B$4:$I$103,2,0)=登!$B$1-1,2,IF(VLOOKUP(D47,登!$B$4:$I$103,2,0)=登!$B$1-2,3,"学年ミス"))),"番号ミス"))</f>
        <v/>
      </c>
      <c r="H47" s="160" t="str">
        <f t="shared" si="1"/>
        <v/>
      </c>
      <c r="I47" s="500"/>
      <c r="J47" s="501"/>
    </row>
    <row r="48" spans="1:12" ht="12.75" customHeight="1">
      <c r="A48" s="175" t="str">
        <f>IF($B$2=1,IF($D$46="","",VLOOKUP(登!$D$1,立男!$A$4:$I$100,4,0)+900),IF($D$46="","",VLOOKUP(登!$D$1,立女!$A$4:$I$100,4,0)+900))</f>
        <v/>
      </c>
      <c r="B48" s="176" t="s">
        <v>21</v>
      </c>
      <c r="C48" s="187" t="str">
        <f>IF(D48="","",登!$F$1)</f>
        <v/>
      </c>
      <c r="D48" s="66"/>
      <c r="E48" s="187">
        <v>30</v>
      </c>
      <c r="F48" s="188" t="str">
        <f>IF(D48="","",IF(COUNTIF($D$13:$D$24,"")&gt;0,"団体から入力",IF(COUNTIF($D$31:D48,"")&gt;0,"上から詰めて入力",IF(INT(VALUE(RIGHT(D48,3))/100)=$B$2,VLOOKUP(D48,登!$B$4:$I$103,7,0),"部員番号入力ミス"))))</f>
        <v/>
      </c>
      <c r="G48" s="181" t="str">
        <f>IF(D48="","",IF(INT(VALUE(RIGHT(D48,3))/100)=$B$2,IF(VLOOKUP(D48,登!$B$4:$I$103,2,0)=登!$B$1,1,IF(VLOOKUP(D48,登!$B$4:$I$103,2,0)=登!$B$1-1,2,IF(VLOOKUP(D48,登!$B$4:$I$103,2,0)=登!$B$1-2,3,"学年ミス"))),"番号ミス"))</f>
        <v/>
      </c>
      <c r="H48" s="175" t="str">
        <f t="shared" si="1"/>
        <v/>
      </c>
      <c r="I48" s="502"/>
      <c r="J48" s="503"/>
    </row>
    <row r="49" spans="1:10" ht="12.75" customHeight="1">
      <c r="A49" s="154" t="str">
        <f>IF($B$2=1,IF($D$49="","",VLOOKUP(登!$D$1,立男!$A$4:$I$100,4,0)+1000),IF($D$49="","",VLOOKUP(登!$D$1,立女!$A$4:$I$100,4,0)+1000))</f>
        <v/>
      </c>
      <c r="B49" s="155" t="s">
        <v>21</v>
      </c>
      <c r="C49" s="185" t="str">
        <f>IF(D49="","",登!$F$1)</f>
        <v/>
      </c>
      <c r="D49" s="63"/>
      <c r="E49" s="185">
        <v>31</v>
      </c>
      <c r="F49" s="158" t="str">
        <f>IF(D49="","",IF(COUNTIF($D$13:$D$24,"")&gt;0,"団体から入力",IF(COUNTIF($D$31:D49,"")&gt;0,"上から詰めて入力",IF(INT(VALUE(RIGHT(D49,3))/100)=$B$2,VLOOKUP(D49,登!$B$4:$I$103,7,0),"部員番号入力ミス"))))</f>
        <v/>
      </c>
      <c r="G49" s="159" t="str">
        <f>IF(D49="","",IF(INT(VALUE(RIGHT(D49,3))/100)=$B$2,IF(VLOOKUP(D49,登!$B$4:$I$103,2,0)=登!$B$1,1,IF(VLOOKUP(D49,登!$B$4:$I$103,2,0)=登!$B$1-1,2,IF(VLOOKUP(D49,登!$B$4:$I$103,2,0)=登!$B$1-2,3,"学年ミス"))),"番号ミス"))</f>
        <v/>
      </c>
      <c r="H49" s="154" t="str">
        <f t="shared" si="1"/>
        <v/>
      </c>
      <c r="I49" s="496"/>
      <c r="J49" s="497"/>
    </row>
    <row r="50" spans="1:10" ht="12.75" customHeight="1">
      <c r="A50" s="160" t="str">
        <f>IF($B$2=1,IF($D$49="","",VLOOKUP(登!$D$1,立男!$A$4:$I$100,4,0)+1000),IF($D$49="","",VLOOKUP(登!$D$1,立女!$A$4:$I$100,4,0)+1000))</f>
        <v/>
      </c>
      <c r="B50" s="161" t="s">
        <v>21</v>
      </c>
      <c r="C50" s="186" t="str">
        <f>IF(D50="","",登!$F$1)</f>
        <v/>
      </c>
      <c r="D50" s="64"/>
      <c r="E50" s="186">
        <v>32</v>
      </c>
      <c r="F50" s="164" t="str">
        <f>IF(D50="","",IF(COUNTIF($D$13:$D$24,"")&gt;0,"団体から入力",IF(COUNTIF($D$31:D50,"")&gt;0,"上から詰めて入力",IF(INT(VALUE(RIGHT(D50,3))/100)=$B$2,VLOOKUP(D50,登!$B$4:$I$103,7,0),"部員番号入力ミス"))))</f>
        <v/>
      </c>
      <c r="G50" s="165" t="str">
        <f>IF(D50="","",IF(INT(VALUE(RIGHT(D50,3))/100)=$B$2,IF(VLOOKUP(D50,登!$B$4:$I$103,2,0)=登!$B$1,1,IF(VLOOKUP(D50,登!$B$4:$I$103,2,0)=登!$B$1-1,2,IF(VLOOKUP(D50,登!$B$4:$I$103,2,0)=登!$B$1-2,3,"学年ミス"))),"番号ミス"))</f>
        <v/>
      </c>
      <c r="H50" s="160" t="str">
        <f t="shared" si="1"/>
        <v/>
      </c>
      <c r="I50" s="500"/>
      <c r="J50" s="501"/>
    </row>
    <row r="51" spans="1:10" ht="12.75" customHeight="1">
      <c r="A51" s="175" t="str">
        <f>IF($B$2=1,IF($D$49="","",VLOOKUP(登!$D$1,立男!$A$4:$I$100,4,0)+1000),IF($D$49="","",VLOOKUP(登!$D$1,立女!$A$4:$I$100,4,0)+1000))</f>
        <v/>
      </c>
      <c r="B51" s="176" t="s">
        <v>21</v>
      </c>
      <c r="C51" s="187" t="str">
        <f>IF(D51="","",登!$F$1)</f>
        <v/>
      </c>
      <c r="D51" s="66"/>
      <c r="E51" s="187">
        <v>33</v>
      </c>
      <c r="F51" s="188" t="str">
        <f>IF(D51="","",IF(COUNTIF($D$13:$D$24,"")&gt;0,"団体から入力",IF(COUNTIF($D$31:D51,"")&gt;0,"上から詰めて入力",IF(INT(VALUE(RIGHT(D51,3))/100)=$B$2,VLOOKUP(D51,登!$B$4:$I$103,7,0),"部員番号入力ミス"))))</f>
        <v/>
      </c>
      <c r="G51" s="181" t="str">
        <f>IF(D51="","",IF(INT(VALUE(RIGHT(D51,3))/100)=$B$2,IF(VLOOKUP(D51,登!$B$4:$I$103,2,0)=登!$B$1,1,IF(VLOOKUP(D51,登!$B$4:$I$103,2,0)=登!$B$1-1,2,IF(VLOOKUP(D51,登!$B$4:$I$103,2,0)=登!$B$1-2,3,"学年ミス"))),"番号ミス"))</f>
        <v/>
      </c>
      <c r="H51" s="175" t="str">
        <f t="shared" si="1"/>
        <v/>
      </c>
      <c r="I51" s="502"/>
      <c r="J51" s="503"/>
    </row>
    <row r="52" spans="1:10" ht="12.75" customHeight="1">
      <c r="A52" s="154" t="str">
        <f>IF($B$2=1,IF($D$52="","",VLOOKUP(登!$D$1,立男!$A$4:$I$100,4,0)+1100),IF($D$52="","",VLOOKUP(登!$D$1,立女!$A$4:$I$100,4,0)+1100))</f>
        <v/>
      </c>
      <c r="B52" s="155" t="s">
        <v>21</v>
      </c>
      <c r="C52" s="185" t="str">
        <f>IF(D52="","",登!$F$1)</f>
        <v/>
      </c>
      <c r="D52" s="63"/>
      <c r="E52" s="185">
        <v>34</v>
      </c>
      <c r="F52" s="158" t="str">
        <f>IF(D52="","",IF(COUNTIF($D$13:$D$24,"")&gt;0,"団体から入力",IF(COUNTIF($D$31:D52,"")&gt;0,"上から詰めて入力",IF(INT(VALUE(RIGHT(D52,3))/100)=$B$2,VLOOKUP(D52,登!$B$4:$I$103,7,0),"部員番号入力ミス"))))</f>
        <v/>
      </c>
      <c r="G52" s="159" t="str">
        <f>IF(D52="","",IF(INT(VALUE(RIGHT(D52,3))/100)=$B$2,IF(VLOOKUP(D52,登!$B$4:$I$103,2,0)=登!$B$1,1,IF(VLOOKUP(D52,登!$B$4:$I$103,2,0)=登!$B$1-1,2,IF(VLOOKUP(D52,登!$B$4:$I$103,2,0)=登!$B$1-2,3,"学年ミス"))),"番号ミス"))</f>
        <v/>
      </c>
      <c r="H52" s="154" t="str">
        <f t="shared" si="1"/>
        <v/>
      </c>
      <c r="I52" s="496"/>
      <c r="J52" s="497"/>
    </row>
    <row r="53" spans="1:10" ht="12.75" customHeight="1">
      <c r="A53" s="160" t="str">
        <f>IF($B$2=1,IF($D$52="","",VLOOKUP(登!$D$1,立男!$A$4:$I$100,4,0)+1100),IF($D$52="","",VLOOKUP(登!$D$1,立女!$A$4:$I$100,4,0)+1100))</f>
        <v/>
      </c>
      <c r="B53" s="161" t="s">
        <v>21</v>
      </c>
      <c r="C53" s="186" t="str">
        <f>IF(D53="","",登!$F$1)</f>
        <v/>
      </c>
      <c r="D53" s="64"/>
      <c r="E53" s="186">
        <v>35</v>
      </c>
      <c r="F53" s="164" t="str">
        <f>IF(D53="","",IF(COUNTIF($D$13:$D$24,"")&gt;0,"団体から入力",IF(COUNTIF($D$31:D53,"")&gt;0,"上から詰めて入力",IF(INT(VALUE(RIGHT(D53,3))/100)=$B$2,VLOOKUP(D53,登!$B$4:$I$103,7,0),"部員番号入力ミス"))))</f>
        <v/>
      </c>
      <c r="G53" s="165" t="str">
        <f>IF(D53="","",IF(INT(VALUE(RIGHT(D53,3))/100)=$B$2,IF(VLOOKUP(D53,登!$B$4:$I$103,2,0)=登!$B$1,1,IF(VLOOKUP(D53,登!$B$4:$I$103,2,0)=登!$B$1-1,2,IF(VLOOKUP(D53,登!$B$4:$I$103,2,0)=登!$B$1-2,3,"学年ミス"))),"番号ミス"))</f>
        <v/>
      </c>
      <c r="H53" s="160" t="str">
        <f t="shared" si="1"/>
        <v/>
      </c>
      <c r="I53" s="500"/>
      <c r="J53" s="501"/>
    </row>
    <row r="54" spans="1:10" ht="12.75" customHeight="1">
      <c r="A54" s="175" t="str">
        <f>IF($B$2=1,IF($D$52="","",VLOOKUP(登!$D$1,立男!$A$4:$I$100,4,0)+1100),IF($D$52="","",VLOOKUP(登!$D$1,立女!$A$4:$I$100,4,0)+1100))</f>
        <v/>
      </c>
      <c r="B54" s="176" t="s">
        <v>21</v>
      </c>
      <c r="C54" s="187" t="str">
        <f>IF(D54="","",登!$F$1)</f>
        <v/>
      </c>
      <c r="D54" s="66"/>
      <c r="E54" s="187">
        <v>36</v>
      </c>
      <c r="F54" s="188" t="str">
        <f>IF(D54="","",IF(COUNTIF($D$13:$D$24,"")&gt;0,"団体から入力",IF(COUNTIF($D$31:D54,"")&gt;0,"上から詰めて入力",IF(INT(VALUE(RIGHT(D54,3))/100)=$B$2,VLOOKUP(D54,登!$B$4:$I$103,7,0),"部員番号入力ミス"))))</f>
        <v/>
      </c>
      <c r="G54" s="181" t="str">
        <f>IF(D54="","",IF(INT(VALUE(RIGHT(D54,3))/100)=$B$2,IF(VLOOKUP(D54,登!$B$4:$I$103,2,0)=登!$B$1,1,IF(VLOOKUP(D54,登!$B$4:$I$103,2,0)=登!$B$1-1,2,IF(VLOOKUP(D54,登!$B$4:$I$103,2,0)=登!$B$1-2,3,"学年ミス"))),"番号ミス"))</f>
        <v/>
      </c>
      <c r="H54" s="175" t="str">
        <f t="shared" si="1"/>
        <v/>
      </c>
      <c r="I54" s="502"/>
      <c r="J54" s="503"/>
    </row>
    <row r="55" spans="1:10" ht="12.75" customHeight="1">
      <c r="A55" s="154" t="str">
        <f>IF($B$2=1,IF($D$55="","",VLOOKUP(登!$D$1,立男!$A$4:$I$100,4,0)+1200),IF($D$55="","",VLOOKUP(登!$D$1,立女!$A$4:$I$100,4,0)+1200))</f>
        <v/>
      </c>
      <c r="B55" s="155" t="s">
        <v>21</v>
      </c>
      <c r="C55" s="185" t="str">
        <f>IF(D55="","",登!$F$1)</f>
        <v/>
      </c>
      <c r="D55" s="63"/>
      <c r="E55" s="185">
        <v>37</v>
      </c>
      <c r="F55" s="158" t="str">
        <f>IF(D55="","",IF(COUNTIF($D$13:$D$24,"")&gt;0,"団体から入力",IF(COUNTIF($D$31:D55,"")&gt;0,"上から詰めて入力",IF(INT(VALUE(RIGHT(D55,3))/100)=$B$2,VLOOKUP(D55,登!$B$4:$I$103,7,0),"部員番号入力ミス"))))</f>
        <v/>
      </c>
      <c r="G55" s="159" t="str">
        <f>IF(D55="","",IF(INT(VALUE(RIGHT(D55,3))/100)=$B$2,IF(VLOOKUP(D55,登!$B$4:$I$103,2,0)=登!$B$1,1,IF(VLOOKUP(D55,登!$B$4:$I$103,2,0)=登!$B$1-1,2,IF(VLOOKUP(D55,登!$B$4:$I$103,2,0)=登!$B$1-2,3,"学年ミス"))),"番号ミス"))</f>
        <v/>
      </c>
      <c r="H55" s="154" t="str">
        <f t="shared" si="1"/>
        <v/>
      </c>
      <c r="I55" s="496"/>
      <c r="J55" s="497"/>
    </row>
    <row r="56" spans="1:10" ht="12.75" customHeight="1">
      <c r="A56" s="160" t="str">
        <f>IF($B$2=1,IF($D$55="","",VLOOKUP(登!$D$1,立男!$A$4:$I$100,4,0)+1200),IF($D$55="","",VLOOKUP(登!$D$1,立女!$A$4:$I$100,4,0)+1200))</f>
        <v/>
      </c>
      <c r="B56" s="161" t="s">
        <v>21</v>
      </c>
      <c r="C56" s="186" t="str">
        <f>IF(D56="","",登!$F$1)</f>
        <v/>
      </c>
      <c r="D56" s="64"/>
      <c r="E56" s="186">
        <v>38</v>
      </c>
      <c r="F56" s="164" t="str">
        <f>IF(D56="","",IF(COUNTIF($D$13:$D$24,"")&gt;0,"団体から入力",IF(COUNTIF($D$31:D56,"")&gt;0,"上から詰めて入力",IF(INT(VALUE(RIGHT(D56,3))/100)=$B$2,VLOOKUP(D56,登!$B$4:$I$103,7,0),"部員番号入力ミス"))))</f>
        <v/>
      </c>
      <c r="G56" s="165" t="str">
        <f>IF(D56="","",IF(INT(VALUE(RIGHT(D56,3))/100)=$B$2,IF(VLOOKUP(D56,登!$B$4:$I$103,2,0)=登!$B$1,1,IF(VLOOKUP(D56,登!$B$4:$I$103,2,0)=登!$B$1-1,2,IF(VLOOKUP(D56,登!$B$4:$I$103,2,0)=登!$B$1-2,3,"学年ミス"))),"番号ミス"))</f>
        <v/>
      </c>
      <c r="H56" s="160" t="str">
        <f t="shared" si="1"/>
        <v/>
      </c>
      <c r="I56" s="500"/>
      <c r="J56" s="501"/>
    </row>
    <row r="57" spans="1:10" ht="12.75" customHeight="1">
      <c r="A57" s="175" t="str">
        <f>IF($B$2=1,IF($D$55="","",VLOOKUP(登!$D$1,立男!$A$4:$I$100,4,0)+1200),IF($D$55="","",VLOOKUP(登!$D$1,立女!$A$4:$I$100,4,0)+1200))</f>
        <v/>
      </c>
      <c r="B57" s="176" t="s">
        <v>21</v>
      </c>
      <c r="C57" s="187" t="str">
        <f>IF(D57="","",登!$F$1)</f>
        <v/>
      </c>
      <c r="D57" s="66"/>
      <c r="E57" s="187">
        <v>39</v>
      </c>
      <c r="F57" s="188" t="str">
        <f>IF(D57="","",IF(COUNTIF($D$13:$D$24,"")&gt;0,"団体から入力",IF(COUNTIF($D$31:D57,"")&gt;0,"上から詰めて入力",IF(INT(VALUE(RIGHT(D57,3))/100)=$B$2,VLOOKUP(D57,登!$B$4:$I$103,7,0),"部員番号入力ミス"))))</f>
        <v/>
      </c>
      <c r="G57" s="181" t="str">
        <f>IF(D57="","",IF(INT(VALUE(RIGHT(D57,3))/100)=$B$2,IF(VLOOKUP(D57,登!$B$4:$I$103,2,0)=登!$B$1,1,IF(VLOOKUP(D57,登!$B$4:$I$103,2,0)=登!$B$1-1,2,IF(VLOOKUP(D57,登!$B$4:$I$103,2,0)=登!$B$1-2,3,"学年ミス"))),"番号ミス"))</f>
        <v/>
      </c>
      <c r="H57" s="175" t="str">
        <f t="shared" si="1"/>
        <v/>
      </c>
      <c r="I57" s="502"/>
      <c r="J57" s="503"/>
    </row>
    <row r="58" spans="1:10" ht="5.25" customHeight="1"/>
    <row r="59" spans="1:10" s="75" customFormat="1" ht="12.75" customHeight="1">
      <c r="A59" s="410" t="s">
        <v>406</v>
      </c>
      <c r="B59" s="410"/>
      <c r="C59" s="410"/>
      <c r="D59" s="410"/>
      <c r="E59" s="407">
        <f>D7</f>
        <v>43734</v>
      </c>
      <c r="F59" s="408"/>
    </row>
    <row r="60" spans="1:10" s="75" customFormat="1" ht="12.75" customHeight="1">
      <c r="A60" s="344"/>
      <c r="B60" s="344"/>
      <c r="C60" s="344"/>
      <c r="D60" s="344"/>
      <c r="E60" s="189"/>
      <c r="F60" s="189"/>
    </row>
    <row r="61" spans="1:10" s="75" customFormat="1" ht="12.75" customHeight="1">
      <c r="A61" s="344"/>
      <c r="B61" s="344"/>
      <c r="C61" s="344"/>
      <c r="D61" s="344"/>
    </row>
    <row r="62" spans="1:10" s="75" customFormat="1" ht="12.75" customHeight="1">
      <c r="A62" s="189" t="s">
        <v>507</v>
      </c>
      <c r="B62" s="409" t="str">
        <f>IF(登!$D$1="",""," "&amp;VLOOKUP(登!$D$1,名!$G$2:$J$54,3,0))</f>
        <v/>
      </c>
      <c r="C62" s="409"/>
      <c r="D62" s="409"/>
      <c r="E62" s="189" t="s">
        <v>199</v>
      </c>
      <c r="F62" s="241" t="s">
        <v>529</v>
      </c>
      <c r="G62" s="352" t="s">
        <v>511</v>
      </c>
    </row>
    <row r="63" spans="1:10" s="75" customFormat="1" ht="12.75" customHeight="1">
      <c r="H63" s="74"/>
    </row>
    <row r="64" spans="1:10" s="75" customFormat="1" ht="12.75" customHeight="1">
      <c r="H64" s="74"/>
    </row>
    <row r="65" spans="1:11" s="75" customFormat="1" ht="12.75" customHeight="1">
      <c r="A65" s="189" t="s">
        <v>510</v>
      </c>
      <c r="B65" s="409" t="str">
        <f>IF(登!$D$1="",""," "&amp;VLOOKUP(登!$D$1,名!$G$2:$J$54,4,0))</f>
        <v/>
      </c>
      <c r="C65" s="409"/>
      <c r="D65" s="409"/>
      <c r="E65" s="189" t="s">
        <v>509</v>
      </c>
      <c r="F65" s="241" t="s">
        <v>529</v>
      </c>
      <c r="G65" s="352" t="s">
        <v>511</v>
      </c>
      <c r="H65" s="74"/>
      <c r="K65" s="190"/>
    </row>
    <row r="66" spans="1:11" ht="5.25" customHeight="1"/>
    <row r="67" spans="1:11" ht="5.25" customHeight="1"/>
    <row r="68" spans="1:11" s="191" customFormat="1" ht="22.5" customHeight="1">
      <c r="B68" s="346">
        <f>B2</f>
        <v>2</v>
      </c>
      <c r="C68" s="398" t="str">
        <f>C2</f>
        <v>令和元年度県高校弓道地区大会（北毛･中毛･東毛）</v>
      </c>
      <c r="D68" s="399"/>
      <c r="E68" s="399"/>
      <c r="F68" s="399"/>
      <c r="G68" s="400"/>
      <c r="H68" s="192"/>
    </row>
    <row r="69" spans="1:11" s="191" customFormat="1" ht="12.75" customHeight="1">
      <c r="B69" s="193"/>
      <c r="C69" s="193"/>
      <c r="D69" s="194"/>
      <c r="E69" s="194"/>
      <c r="F69" s="194"/>
      <c r="G69" s="195"/>
      <c r="H69" s="192"/>
    </row>
    <row r="70" spans="1:11" s="191" customFormat="1" ht="12.75" customHeight="1">
      <c r="B70" s="401" t="s">
        <v>11</v>
      </c>
      <c r="C70" s="401"/>
      <c r="D70" s="402" t="str">
        <f>D4</f>
        <v>○　○　○　○</v>
      </c>
      <c r="E70" s="403"/>
      <c r="F70" s="404"/>
      <c r="G70" s="314"/>
      <c r="H70" s="246"/>
    </row>
    <row r="71" spans="1:11" s="191" customFormat="1" ht="12.75" customHeight="1">
      <c r="B71" s="193"/>
      <c r="C71" s="193"/>
      <c r="D71" s="194"/>
      <c r="E71" s="194"/>
      <c r="F71" s="194"/>
      <c r="G71" s="194"/>
      <c r="H71" s="192"/>
    </row>
    <row r="72" spans="1:11" s="191" customFormat="1" ht="12.75" customHeight="1">
      <c r="B72" s="388" t="s">
        <v>39</v>
      </c>
      <c r="C72" s="388"/>
      <c r="D72" s="397">
        <f>D6</f>
        <v>11</v>
      </c>
      <c r="E72" s="397"/>
      <c r="F72" s="397"/>
      <c r="G72" s="397"/>
      <c r="H72" s="192"/>
      <c r="I72" s="197"/>
    </row>
    <row r="73" spans="1:11" s="191" customFormat="1" ht="12.75" customHeight="1">
      <c r="B73" s="388" t="s">
        <v>40</v>
      </c>
      <c r="C73" s="388"/>
      <c r="D73" s="389">
        <f>D7</f>
        <v>43734</v>
      </c>
      <c r="E73" s="390"/>
      <c r="F73" s="391" t="str">
        <f>F7</f>
        <v>木曜日　１６時</v>
      </c>
      <c r="G73" s="392"/>
      <c r="H73" s="192"/>
      <c r="I73" s="197"/>
    </row>
    <row r="74" spans="1:11" s="191" customFormat="1" ht="12.75" customHeight="1">
      <c r="B74" s="388" t="s">
        <v>38</v>
      </c>
      <c r="C74" s="388"/>
      <c r="D74" s="389">
        <f>D8</f>
        <v>43743</v>
      </c>
      <c r="E74" s="390"/>
      <c r="F74" s="391" t="str">
        <f>F8</f>
        <v>土曜日</v>
      </c>
      <c r="G74" s="392"/>
      <c r="H74" s="192"/>
      <c r="I74" s="197"/>
    </row>
    <row r="75" spans="1:11" s="191" customFormat="1" ht="12.75" customHeight="1">
      <c r="B75" s="388" t="s">
        <v>41</v>
      </c>
      <c r="C75" s="388"/>
      <c r="D75" s="393" t="s">
        <v>52</v>
      </c>
      <c r="E75" s="454"/>
      <c r="F75" s="454"/>
      <c r="G75" s="394"/>
      <c r="H75" s="192"/>
      <c r="I75" s="197"/>
    </row>
    <row r="76" spans="1:11" s="191" customFormat="1" ht="12.75" customHeight="1">
      <c r="B76" s="197" t="s">
        <v>62</v>
      </c>
      <c r="C76" s="197"/>
      <c r="D76" s="195"/>
      <c r="E76" s="195"/>
      <c r="F76" s="195"/>
      <c r="G76" s="195"/>
      <c r="H76" s="192"/>
      <c r="I76" s="197"/>
    </row>
    <row r="77" spans="1:11" s="191" customFormat="1" ht="22.5" customHeight="1">
      <c r="B77" s="384" t="str">
        <f>B11</f>
        <v>女　子　団　体　参　加　申　込　書</v>
      </c>
      <c r="C77" s="384"/>
      <c r="D77" s="384"/>
      <c r="E77" s="384"/>
      <c r="F77" s="384"/>
      <c r="G77" s="384"/>
      <c r="H77" s="192"/>
      <c r="I77" s="455" t="s">
        <v>53</v>
      </c>
      <c r="J77" s="456"/>
    </row>
    <row r="78" spans="1:11" s="191" customFormat="1" ht="12.75" customHeight="1">
      <c r="A78" s="346" t="str">
        <f>IF(A12="","",A12)</f>
        <v>立順</v>
      </c>
      <c r="B78" s="198" t="str">
        <f t="shared" ref="B78:J79" si="2">IF(B12="","",B12)</f>
        <v>チーム</v>
      </c>
      <c r="C78" s="199" t="str">
        <f t="shared" si="2"/>
        <v>校　名</v>
      </c>
      <c r="D78" s="200" t="str">
        <f t="shared" si="2"/>
        <v>登録番号</v>
      </c>
      <c r="E78" s="201" t="str">
        <f t="shared" si="2"/>
        <v>立　順</v>
      </c>
      <c r="F78" s="202" t="str">
        <f t="shared" si="2"/>
        <v>選　　手　　名</v>
      </c>
      <c r="G78" s="203" t="str">
        <f t="shared" si="2"/>
        <v>学　年</v>
      </c>
      <c r="H78" s="346" t="str">
        <f t="shared" si="2"/>
        <v>重複ﾁｪｯｸ</v>
      </c>
      <c r="I78" s="346" t="str">
        <f t="shared" si="2"/>
        <v>ありなし</v>
      </c>
      <c r="J78" s="346" t="str">
        <f t="shared" si="2"/>
        <v>だぶる立順</v>
      </c>
    </row>
    <row r="79" spans="1:11" s="191" customFormat="1" ht="12.75" customHeight="1">
      <c r="A79" s="204" t="str">
        <f>IF(A13="","",A13)</f>
        <v/>
      </c>
      <c r="B79" s="205" t="str">
        <f t="shared" si="2"/>
        <v>Ａ</v>
      </c>
      <c r="C79" s="206" t="str">
        <f t="shared" si="2"/>
        <v/>
      </c>
      <c r="D79" s="139" t="str">
        <f t="shared" si="2"/>
        <v/>
      </c>
      <c r="E79" s="207">
        <f t="shared" si="2"/>
        <v>1</v>
      </c>
      <c r="F79" s="208" t="str">
        <f t="shared" si="2"/>
        <v/>
      </c>
      <c r="G79" s="209" t="str">
        <f t="shared" si="2"/>
        <v/>
      </c>
      <c r="H79" s="204" t="str">
        <f t="shared" si="2"/>
        <v/>
      </c>
      <c r="I79" s="315" t="str">
        <f t="shared" si="2"/>
        <v/>
      </c>
      <c r="J79" s="316" t="str">
        <f t="shared" si="2"/>
        <v/>
      </c>
    </row>
    <row r="80" spans="1:11" s="191" customFormat="1" ht="12.75" customHeight="1">
      <c r="A80" s="317" t="str">
        <f t="shared" ref="A80:J93" si="3">IF(A14="","",A14)</f>
        <v/>
      </c>
      <c r="B80" s="318" t="str">
        <f t="shared" si="3"/>
        <v>Ａ</v>
      </c>
      <c r="C80" s="319" t="str">
        <f t="shared" si="3"/>
        <v/>
      </c>
      <c r="D80" s="320" t="str">
        <f t="shared" si="3"/>
        <v/>
      </c>
      <c r="E80" s="321">
        <f t="shared" si="3"/>
        <v>2</v>
      </c>
      <c r="F80" s="322" t="str">
        <f t="shared" si="3"/>
        <v/>
      </c>
      <c r="G80" s="323" t="str">
        <f t="shared" si="3"/>
        <v/>
      </c>
      <c r="H80" s="317" t="str">
        <f t="shared" si="3"/>
        <v/>
      </c>
      <c r="I80" s="324" t="str">
        <f t="shared" si="3"/>
        <v/>
      </c>
      <c r="J80" s="325" t="str">
        <f t="shared" si="3"/>
        <v/>
      </c>
    </row>
    <row r="81" spans="1:10" s="191" customFormat="1" ht="12.75" customHeight="1">
      <c r="A81" s="210" t="str">
        <f t="shared" si="3"/>
        <v/>
      </c>
      <c r="B81" s="211" t="str">
        <f t="shared" si="3"/>
        <v>Ａ</v>
      </c>
      <c r="C81" s="212" t="str">
        <f t="shared" si="3"/>
        <v/>
      </c>
      <c r="D81" s="140" t="str">
        <f t="shared" si="3"/>
        <v/>
      </c>
      <c r="E81" s="213">
        <f t="shared" si="3"/>
        <v>3</v>
      </c>
      <c r="F81" s="214" t="str">
        <f t="shared" si="3"/>
        <v/>
      </c>
      <c r="G81" s="215" t="str">
        <f t="shared" si="3"/>
        <v/>
      </c>
      <c r="H81" s="210" t="str">
        <f t="shared" si="3"/>
        <v/>
      </c>
      <c r="I81" s="326" t="str">
        <f t="shared" si="3"/>
        <v/>
      </c>
      <c r="J81" s="327" t="str">
        <f t="shared" si="3"/>
        <v/>
      </c>
    </row>
    <row r="82" spans="1:10" s="191" customFormat="1" ht="12.75" customHeight="1">
      <c r="A82" s="225" t="str">
        <f t="shared" si="3"/>
        <v/>
      </c>
      <c r="B82" s="226" t="str">
        <f t="shared" si="3"/>
        <v>Ａ</v>
      </c>
      <c r="C82" s="227" t="str">
        <f t="shared" si="3"/>
        <v/>
      </c>
      <c r="D82" s="141" t="str">
        <f t="shared" si="3"/>
        <v/>
      </c>
      <c r="E82" s="228">
        <f t="shared" si="3"/>
        <v>4</v>
      </c>
      <c r="F82" s="237" t="str">
        <f t="shared" si="3"/>
        <v/>
      </c>
      <c r="G82" s="230" t="str">
        <f t="shared" si="3"/>
        <v/>
      </c>
      <c r="H82" s="225" t="str">
        <f t="shared" si="3"/>
        <v/>
      </c>
      <c r="I82" s="328" t="str">
        <f t="shared" si="3"/>
        <v/>
      </c>
      <c r="J82" s="329" t="str">
        <f t="shared" si="3"/>
        <v/>
      </c>
    </row>
    <row r="83" spans="1:10" s="191" customFormat="1" ht="12.75" customHeight="1">
      <c r="A83" s="204" t="str">
        <f t="shared" si="3"/>
        <v/>
      </c>
      <c r="B83" s="205" t="str">
        <f t="shared" si="3"/>
        <v>Ｂ</v>
      </c>
      <c r="C83" s="206" t="str">
        <f t="shared" si="3"/>
        <v/>
      </c>
      <c r="D83" s="139" t="str">
        <f t="shared" si="3"/>
        <v/>
      </c>
      <c r="E83" s="207">
        <f t="shared" si="3"/>
        <v>5</v>
      </c>
      <c r="F83" s="208" t="str">
        <f t="shared" si="3"/>
        <v/>
      </c>
      <c r="G83" s="209" t="str">
        <f t="shared" si="3"/>
        <v/>
      </c>
      <c r="H83" s="204" t="str">
        <f t="shared" si="3"/>
        <v/>
      </c>
      <c r="I83" s="315" t="str">
        <f t="shared" si="3"/>
        <v/>
      </c>
      <c r="J83" s="316" t="str">
        <f t="shared" si="3"/>
        <v/>
      </c>
    </row>
    <row r="84" spans="1:10" s="191" customFormat="1" ht="12.75" customHeight="1">
      <c r="A84" s="317" t="str">
        <f t="shared" si="3"/>
        <v/>
      </c>
      <c r="B84" s="318" t="str">
        <f t="shared" si="3"/>
        <v>Ｂ</v>
      </c>
      <c r="C84" s="319" t="str">
        <f t="shared" si="3"/>
        <v/>
      </c>
      <c r="D84" s="320" t="str">
        <f t="shared" si="3"/>
        <v/>
      </c>
      <c r="E84" s="321">
        <f t="shared" si="3"/>
        <v>6</v>
      </c>
      <c r="F84" s="322" t="str">
        <f t="shared" si="3"/>
        <v/>
      </c>
      <c r="G84" s="323" t="str">
        <f t="shared" si="3"/>
        <v/>
      </c>
      <c r="H84" s="317" t="str">
        <f t="shared" si="3"/>
        <v/>
      </c>
      <c r="I84" s="324" t="str">
        <f t="shared" si="3"/>
        <v/>
      </c>
      <c r="J84" s="325" t="str">
        <f t="shared" si="3"/>
        <v/>
      </c>
    </row>
    <row r="85" spans="1:10" s="191" customFormat="1" ht="12.75" customHeight="1">
      <c r="A85" s="210" t="str">
        <f t="shared" si="3"/>
        <v/>
      </c>
      <c r="B85" s="211" t="str">
        <f t="shared" si="3"/>
        <v>Ｂ</v>
      </c>
      <c r="C85" s="212" t="str">
        <f t="shared" si="3"/>
        <v/>
      </c>
      <c r="D85" s="140" t="str">
        <f t="shared" si="3"/>
        <v/>
      </c>
      <c r="E85" s="213">
        <f t="shared" si="3"/>
        <v>7</v>
      </c>
      <c r="F85" s="214" t="str">
        <f t="shared" si="3"/>
        <v/>
      </c>
      <c r="G85" s="215" t="str">
        <f t="shared" si="3"/>
        <v/>
      </c>
      <c r="H85" s="210" t="str">
        <f t="shared" si="3"/>
        <v/>
      </c>
      <c r="I85" s="326" t="str">
        <f t="shared" si="3"/>
        <v/>
      </c>
      <c r="J85" s="327" t="str">
        <f t="shared" si="3"/>
        <v/>
      </c>
    </row>
    <row r="86" spans="1:10" s="191" customFormat="1" ht="12.75" customHeight="1">
      <c r="A86" s="225" t="str">
        <f t="shared" si="3"/>
        <v/>
      </c>
      <c r="B86" s="226" t="str">
        <f t="shared" si="3"/>
        <v>Ｂ</v>
      </c>
      <c r="C86" s="227" t="str">
        <f t="shared" si="3"/>
        <v/>
      </c>
      <c r="D86" s="141" t="str">
        <f t="shared" si="3"/>
        <v/>
      </c>
      <c r="E86" s="228">
        <f t="shared" si="3"/>
        <v>8</v>
      </c>
      <c r="F86" s="237" t="str">
        <f t="shared" si="3"/>
        <v/>
      </c>
      <c r="G86" s="230" t="str">
        <f t="shared" si="3"/>
        <v/>
      </c>
      <c r="H86" s="225" t="str">
        <f t="shared" si="3"/>
        <v/>
      </c>
      <c r="I86" s="328" t="str">
        <f t="shared" si="3"/>
        <v/>
      </c>
      <c r="J86" s="329" t="str">
        <f t="shared" si="3"/>
        <v/>
      </c>
    </row>
    <row r="87" spans="1:10" s="191" customFormat="1" ht="12.75" customHeight="1">
      <c r="A87" s="204" t="str">
        <f t="shared" si="3"/>
        <v/>
      </c>
      <c r="B87" s="205" t="str">
        <f t="shared" si="3"/>
        <v>Ｃ</v>
      </c>
      <c r="C87" s="206" t="str">
        <f t="shared" si="3"/>
        <v/>
      </c>
      <c r="D87" s="139" t="str">
        <f t="shared" si="3"/>
        <v/>
      </c>
      <c r="E87" s="207">
        <f t="shared" si="3"/>
        <v>9</v>
      </c>
      <c r="F87" s="208" t="str">
        <f t="shared" si="3"/>
        <v/>
      </c>
      <c r="G87" s="209" t="str">
        <f t="shared" si="3"/>
        <v/>
      </c>
      <c r="H87" s="204" t="str">
        <f t="shared" si="3"/>
        <v/>
      </c>
      <c r="I87" s="315" t="str">
        <f t="shared" si="3"/>
        <v/>
      </c>
      <c r="J87" s="316" t="str">
        <f t="shared" si="3"/>
        <v/>
      </c>
    </row>
    <row r="88" spans="1:10" s="191" customFormat="1" ht="12.75" customHeight="1">
      <c r="A88" s="317" t="str">
        <f t="shared" si="3"/>
        <v/>
      </c>
      <c r="B88" s="318" t="str">
        <f t="shared" si="3"/>
        <v>Ｃ</v>
      </c>
      <c r="C88" s="319" t="str">
        <f t="shared" si="3"/>
        <v/>
      </c>
      <c r="D88" s="320" t="str">
        <f t="shared" si="3"/>
        <v/>
      </c>
      <c r="E88" s="321">
        <f t="shared" si="3"/>
        <v>10</v>
      </c>
      <c r="F88" s="322" t="str">
        <f t="shared" si="3"/>
        <v/>
      </c>
      <c r="G88" s="323" t="str">
        <f t="shared" si="3"/>
        <v/>
      </c>
      <c r="H88" s="317" t="str">
        <f t="shared" si="3"/>
        <v/>
      </c>
      <c r="I88" s="324" t="str">
        <f t="shared" si="3"/>
        <v/>
      </c>
      <c r="J88" s="325" t="str">
        <f t="shared" si="3"/>
        <v/>
      </c>
    </row>
    <row r="89" spans="1:10" s="191" customFormat="1" ht="12.75" customHeight="1">
      <c r="A89" s="210" t="str">
        <f t="shared" si="3"/>
        <v/>
      </c>
      <c r="B89" s="211" t="str">
        <f t="shared" si="3"/>
        <v>Ｃ</v>
      </c>
      <c r="C89" s="212" t="str">
        <f t="shared" si="3"/>
        <v/>
      </c>
      <c r="D89" s="140" t="str">
        <f t="shared" si="3"/>
        <v/>
      </c>
      <c r="E89" s="213">
        <f t="shared" si="3"/>
        <v>11</v>
      </c>
      <c r="F89" s="214" t="str">
        <f t="shared" si="3"/>
        <v/>
      </c>
      <c r="G89" s="215" t="str">
        <f t="shared" si="3"/>
        <v/>
      </c>
      <c r="H89" s="210" t="str">
        <f t="shared" si="3"/>
        <v/>
      </c>
      <c r="I89" s="326" t="str">
        <f t="shared" si="3"/>
        <v/>
      </c>
      <c r="J89" s="327" t="str">
        <f t="shared" si="3"/>
        <v/>
      </c>
    </row>
    <row r="90" spans="1:10" s="191" customFormat="1" ht="12.75" customHeight="1">
      <c r="A90" s="225" t="str">
        <f t="shared" si="3"/>
        <v/>
      </c>
      <c r="B90" s="226" t="str">
        <f t="shared" si="3"/>
        <v>Ｃ</v>
      </c>
      <c r="C90" s="227" t="str">
        <f t="shared" si="3"/>
        <v/>
      </c>
      <c r="D90" s="141" t="str">
        <f t="shared" si="3"/>
        <v/>
      </c>
      <c r="E90" s="228">
        <f t="shared" si="3"/>
        <v>12</v>
      </c>
      <c r="F90" s="237" t="str">
        <f t="shared" si="3"/>
        <v/>
      </c>
      <c r="G90" s="230" t="str">
        <f t="shared" si="3"/>
        <v/>
      </c>
      <c r="H90" s="225" t="str">
        <f t="shared" si="3"/>
        <v/>
      </c>
      <c r="I90" s="328" t="str">
        <f t="shared" si="3"/>
        <v/>
      </c>
      <c r="J90" s="329" t="str">
        <f t="shared" si="3"/>
        <v/>
      </c>
    </row>
    <row r="91" spans="1:10" s="191" customFormat="1" ht="12.75" customHeight="1">
      <c r="A91" s="204" t="str">
        <f t="shared" si="3"/>
        <v/>
      </c>
      <c r="B91" s="205" t="str">
        <f t="shared" si="3"/>
        <v>Ａ</v>
      </c>
      <c r="C91" s="206" t="str">
        <f t="shared" si="3"/>
        <v/>
      </c>
      <c r="D91" s="139" t="str">
        <f t="shared" si="3"/>
        <v/>
      </c>
      <c r="E91" s="207">
        <f t="shared" si="3"/>
        <v>4</v>
      </c>
      <c r="F91" s="223" t="str">
        <f t="shared" si="3"/>
        <v/>
      </c>
      <c r="G91" s="209" t="str">
        <f t="shared" si="3"/>
        <v/>
      </c>
      <c r="H91" s="224" t="str">
        <f t="shared" si="3"/>
        <v/>
      </c>
      <c r="I91" s="316" t="str">
        <f t="shared" si="3"/>
        <v/>
      </c>
      <c r="J91" s="330" t="str">
        <f t="shared" si="3"/>
        <v/>
      </c>
    </row>
    <row r="92" spans="1:10" s="191" customFormat="1" ht="12.75" customHeight="1">
      <c r="A92" s="210" t="str">
        <f t="shared" si="3"/>
        <v/>
      </c>
      <c r="B92" s="211" t="str">
        <f t="shared" si="3"/>
        <v>Ｂ</v>
      </c>
      <c r="C92" s="212" t="str">
        <f t="shared" si="3"/>
        <v/>
      </c>
      <c r="D92" s="140" t="str">
        <f t="shared" si="3"/>
        <v/>
      </c>
      <c r="E92" s="213">
        <f t="shared" si="3"/>
        <v>8</v>
      </c>
      <c r="F92" s="337" t="str">
        <f t="shared" si="3"/>
        <v/>
      </c>
      <c r="G92" s="215" t="str">
        <f t="shared" si="3"/>
        <v/>
      </c>
      <c r="H92" s="338" t="str">
        <f t="shared" si="3"/>
        <v/>
      </c>
      <c r="I92" s="327" t="str">
        <f t="shared" si="3"/>
        <v/>
      </c>
      <c r="J92" s="339" t="str">
        <f t="shared" si="3"/>
        <v/>
      </c>
    </row>
    <row r="93" spans="1:10" s="191" customFormat="1" ht="12.75" customHeight="1">
      <c r="A93" s="225" t="str">
        <f t="shared" si="3"/>
        <v/>
      </c>
      <c r="B93" s="226" t="str">
        <f t="shared" si="3"/>
        <v>Ｃ</v>
      </c>
      <c r="C93" s="227" t="str">
        <f t="shared" si="3"/>
        <v/>
      </c>
      <c r="D93" s="141" t="str">
        <f t="shared" si="3"/>
        <v/>
      </c>
      <c r="E93" s="228">
        <f t="shared" si="3"/>
        <v>12</v>
      </c>
      <c r="F93" s="229" t="str">
        <f t="shared" si="3"/>
        <v/>
      </c>
      <c r="G93" s="230" t="str">
        <f t="shared" si="3"/>
        <v/>
      </c>
      <c r="H93" s="231" t="str">
        <f t="shared" si="3"/>
        <v/>
      </c>
      <c r="I93" s="329" t="str">
        <f t="shared" si="3"/>
        <v/>
      </c>
      <c r="J93" s="331" t="str">
        <f t="shared" si="3"/>
        <v/>
      </c>
    </row>
    <row r="94" spans="1:10" s="191" customFormat="1" ht="12.75" customHeight="1">
      <c r="B94" s="232" t="str">
        <f>B28</f>
        <v>（４はＡチーム補欠、８はＢチーム補欠、１２はＣチーム補欠です）</v>
      </c>
      <c r="C94" s="233"/>
      <c r="D94" s="233"/>
      <c r="E94" s="233"/>
      <c r="F94" s="233"/>
      <c r="G94" s="233"/>
      <c r="H94" s="192"/>
    </row>
    <row r="95" spans="1:10" s="191" customFormat="1" ht="22.5" customHeight="1">
      <c r="B95" s="384" t="str">
        <f>B29</f>
        <v>女　子　個　人　参　加　申　込　書</v>
      </c>
      <c r="C95" s="384"/>
      <c r="D95" s="384"/>
      <c r="E95" s="384"/>
      <c r="F95" s="384"/>
      <c r="G95" s="384"/>
      <c r="H95" s="192"/>
      <c r="I95" s="455" t="s">
        <v>53</v>
      </c>
      <c r="J95" s="456"/>
    </row>
    <row r="96" spans="1:10" s="191" customFormat="1" ht="12.75" customHeight="1">
      <c r="A96" s="346" t="str">
        <f>IF(A30="","",A30)</f>
        <v>立順</v>
      </c>
      <c r="B96" s="198" t="str">
        <f t="shared" ref="B96:J96" si="4">IF(B30="","",B30)</f>
        <v>チーム</v>
      </c>
      <c r="C96" s="202" t="str">
        <f t="shared" si="4"/>
        <v>校　名</v>
      </c>
      <c r="D96" s="200" t="str">
        <f t="shared" si="4"/>
        <v>登録番号</v>
      </c>
      <c r="E96" s="202" t="str">
        <f t="shared" si="4"/>
        <v>立　順</v>
      </c>
      <c r="F96" s="202" t="str">
        <f t="shared" si="4"/>
        <v>選　　手　　名</v>
      </c>
      <c r="G96" s="203" t="str">
        <f t="shared" si="4"/>
        <v>学　年</v>
      </c>
      <c r="H96" s="346" t="str">
        <f t="shared" si="4"/>
        <v>重複ﾁｪｯｸ</v>
      </c>
      <c r="I96" s="346" t="str">
        <f t="shared" si="4"/>
        <v>ありなし</v>
      </c>
      <c r="J96" s="346" t="str">
        <f t="shared" si="4"/>
        <v>だぶる立順</v>
      </c>
    </row>
    <row r="97" spans="1:12" s="191" customFormat="1" ht="12.75" customHeight="1">
      <c r="A97" s="204" t="str">
        <f t="shared" ref="A97:J112" si="5">IF(A31="","",A31)</f>
        <v/>
      </c>
      <c r="B97" s="205" t="str">
        <f t="shared" si="5"/>
        <v>個</v>
      </c>
      <c r="C97" s="234" t="str">
        <f t="shared" si="5"/>
        <v/>
      </c>
      <c r="D97" s="139" t="str">
        <f t="shared" si="5"/>
        <v/>
      </c>
      <c r="E97" s="234">
        <f t="shared" si="5"/>
        <v>13</v>
      </c>
      <c r="F97" s="208" t="str">
        <f t="shared" si="5"/>
        <v/>
      </c>
      <c r="G97" s="209" t="str">
        <f t="shared" si="5"/>
        <v/>
      </c>
      <c r="H97" s="204" t="str">
        <f t="shared" si="5"/>
        <v/>
      </c>
      <c r="I97" s="315" t="str">
        <f t="shared" si="5"/>
        <v/>
      </c>
      <c r="J97" s="316" t="str">
        <f t="shared" si="5"/>
        <v/>
      </c>
    </row>
    <row r="98" spans="1:12" s="191" customFormat="1" ht="12.75" customHeight="1">
      <c r="A98" s="210" t="str">
        <f t="shared" si="5"/>
        <v/>
      </c>
      <c r="B98" s="211" t="str">
        <f t="shared" si="5"/>
        <v>個</v>
      </c>
      <c r="C98" s="235" t="str">
        <f t="shared" si="5"/>
        <v/>
      </c>
      <c r="D98" s="140" t="str">
        <f t="shared" si="5"/>
        <v/>
      </c>
      <c r="E98" s="235">
        <f t="shared" si="5"/>
        <v>14</v>
      </c>
      <c r="F98" s="214" t="str">
        <f t="shared" si="5"/>
        <v/>
      </c>
      <c r="G98" s="215" t="str">
        <f t="shared" si="5"/>
        <v/>
      </c>
      <c r="H98" s="210" t="str">
        <f t="shared" si="5"/>
        <v/>
      </c>
      <c r="I98" s="326" t="str">
        <f t="shared" si="5"/>
        <v/>
      </c>
      <c r="J98" s="327" t="str">
        <f t="shared" si="5"/>
        <v/>
      </c>
    </row>
    <row r="99" spans="1:12" s="191" customFormat="1" ht="12.75" customHeight="1">
      <c r="A99" s="225" t="str">
        <f t="shared" si="5"/>
        <v/>
      </c>
      <c r="B99" s="226" t="str">
        <f t="shared" si="5"/>
        <v>個</v>
      </c>
      <c r="C99" s="236" t="str">
        <f t="shared" si="5"/>
        <v/>
      </c>
      <c r="D99" s="141" t="str">
        <f t="shared" si="5"/>
        <v/>
      </c>
      <c r="E99" s="236">
        <f t="shared" si="5"/>
        <v>15</v>
      </c>
      <c r="F99" s="237" t="str">
        <f t="shared" si="5"/>
        <v/>
      </c>
      <c r="G99" s="230" t="str">
        <f t="shared" si="5"/>
        <v/>
      </c>
      <c r="H99" s="225" t="str">
        <f t="shared" si="5"/>
        <v/>
      </c>
      <c r="I99" s="328" t="str">
        <f t="shared" si="5"/>
        <v/>
      </c>
      <c r="J99" s="329" t="str">
        <f t="shared" si="5"/>
        <v/>
      </c>
    </row>
    <row r="100" spans="1:12" s="191" customFormat="1" ht="12.75" customHeight="1">
      <c r="A100" s="204" t="str">
        <f t="shared" si="5"/>
        <v/>
      </c>
      <c r="B100" s="205" t="str">
        <f t="shared" si="5"/>
        <v>個</v>
      </c>
      <c r="C100" s="234" t="str">
        <f t="shared" si="5"/>
        <v/>
      </c>
      <c r="D100" s="139" t="str">
        <f t="shared" si="5"/>
        <v/>
      </c>
      <c r="E100" s="234">
        <f t="shared" si="5"/>
        <v>16</v>
      </c>
      <c r="F100" s="208" t="str">
        <f t="shared" si="5"/>
        <v/>
      </c>
      <c r="G100" s="209" t="str">
        <f t="shared" si="5"/>
        <v/>
      </c>
      <c r="H100" s="204" t="str">
        <f t="shared" si="5"/>
        <v/>
      </c>
      <c r="I100" s="315" t="str">
        <f t="shared" si="5"/>
        <v/>
      </c>
      <c r="J100" s="316" t="str">
        <f t="shared" si="5"/>
        <v/>
      </c>
    </row>
    <row r="101" spans="1:12" s="191" customFormat="1" ht="12.75" customHeight="1">
      <c r="A101" s="210" t="str">
        <f t="shared" si="5"/>
        <v/>
      </c>
      <c r="B101" s="211" t="str">
        <f t="shared" si="5"/>
        <v>個</v>
      </c>
      <c r="C101" s="235" t="str">
        <f t="shared" si="5"/>
        <v/>
      </c>
      <c r="D101" s="140" t="str">
        <f t="shared" si="5"/>
        <v/>
      </c>
      <c r="E101" s="235">
        <f t="shared" si="5"/>
        <v>17</v>
      </c>
      <c r="F101" s="214" t="str">
        <f t="shared" si="5"/>
        <v/>
      </c>
      <c r="G101" s="215" t="str">
        <f t="shared" si="5"/>
        <v/>
      </c>
      <c r="H101" s="210" t="str">
        <f t="shared" si="5"/>
        <v/>
      </c>
      <c r="I101" s="326" t="str">
        <f t="shared" si="5"/>
        <v/>
      </c>
      <c r="J101" s="327" t="str">
        <f t="shared" si="5"/>
        <v/>
      </c>
    </row>
    <row r="102" spans="1:12" s="191" customFormat="1" ht="12.75" customHeight="1">
      <c r="A102" s="225" t="str">
        <f t="shared" si="5"/>
        <v/>
      </c>
      <c r="B102" s="226" t="str">
        <f t="shared" si="5"/>
        <v>個</v>
      </c>
      <c r="C102" s="236" t="str">
        <f t="shared" si="5"/>
        <v/>
      </c>
      <c r="D102" s="141" t="str">
        <f t="shared" si="5"/>
        <v/>
      </c>
      <c r="E102" s="236">
        <f t="shared" si="5"/>
        <v>18</v>
      </c>
      <c r="F102" s="237" t="str">
        <f t="shared" si="5"/>
        <v/>
      </c>
      <c r="G102" s="230" t="str">
        <f t="shared" si="5"/>
        <v/>
      </c>
      <c r="H102" s="225" t="str">
        <f t="shared" si="5"/>
        <v/>
      </c>
      <c r="I102" s="328" t="str">
        <f t="shared" si="5"/>
        <v/>
      </c>
      <c r="J102" s="329" t="str">
        <f t="shared" si="5"/>
        <v/>
      </c>
    </row>
    <row r="103" spans="1:12" s="191" customFormat="1" ht="12.75" customHeight="1">
      <c r="A103" s="204" t="str">
        <f t="shared" si="5"/>
        <v/>
      </c>
      <c r="B103" s="205" t="str">
        <f t="shared" si="5"/>
        <v>個</v>
      </c>
      <c r="C103" s="234" t="str">
        <f t="shared" si="5"/>
        <v/>
      </c>
      <c r="D103" s="139" t="str">
        <f t="shared" si="5"/>
        <v/>
      </c>
      <c r="E103" s="234">
        <f t="shared" si="5"/>
        <v>19</v>
      </c>
      <c r="F103" s="208" t="str">
        <f t="shared" si="5"/>
        <v/>
      </c>
      <c r="G103" s="209" t="str">
        <f t="shared" si="5"/>
        <v/>
      </c>
      <c r="H103" s="204" t="str">
        <f t="shared" si="5"/>
        <v/>
      </c>
      <c r="I103" s="315" t="str">
        <f t="shared" si="5"/>
        <v/>
      </c>
      <c r="J103" s="316" t="str">
        <f t="shared" si="5"/>
        <v/>
      </c>
    </row>
    <row r="104" spans="1:12" s="191" customFormat="1" ht="12.75" customHeight="1">
      <c r="A104" s="210" t="str">
        <f t="shared" si="5"/>
        <v/>
      </c>
      <c r="B104" s="211" t="str">
        <f t="shared" si="5"/>
        <v>個</v>
      </c>
      <c r="C104" s="235" t="str">
        <f t="shared" si="5"/>
        <v/>
      </c>
      <c r="D104" s="140" t="str">
        <f t="shared" si="5"/>
        <v/>
      </c>
      <c r="E104" s="235">
        <f t="shared" si="5"/>
        <v>20</v>
      </c>
      <c r="F104" s="214" t="str">
        <f t="shared" si="5"/>
        <v/>
      </c>
      <c r="G104" s="215" t="str">
        <f t="shared" si="5"/>
        <v/>
      </c>
      <c r="H104" s="210" t="str">
        <f t="shared" si="5"/>
        <v/>
      </c>
      <c r="I104" s="326" t="str">
        <f t="shared" si="5"/>
        <v/>
      </c>
      <c r="J104" s="327" t="str">
        <f t="shared" si="5"/>
        <v/>
      </c>
    </row>
    <row r="105" spans="1:12" s="191" customFormat="1" ht="12.75" customHeight="1">
      <c r="A105" s="225" t="str">
        <f t="shared" si="5"/>
        <v/>
      </c>
      <c r="B105" s="226" t="str">
        <f t="shared" si="5"/>
        <v>個</v>
      </c>
      <c r="C105" s="236" t="str">
        <f t="shared" si="5"/>
        <v/>
      </c>
      <c r="D105" s="141" t="str">
        <f t="shared" si="5"/>
        <v/>
      </c>
      <c r="E105" s="236">
        <f t="shared" si="5"/>
        <v>21</v>
      </c>
      <c r="F105" s="237" t="str">
        <f t="shared" si="5"/>
        <v/>
      </c>
      <c r="G105" s="230" t="str">
        <f t="shared" si="5"/>
        <v/>
      </c>
      <c r="H105" s="225" t="str">
        <f t="shared" si="5"/>
        <v/>
      </c>
      <c r="I105" s="328" t="str">
        <f t="shared" si="5"/>
        <v/>
      </c>
      <c r="J105" s="329" t="str">
        <f t="shared" si="5"/>
        <v/>
      </c>
      <c r="L105" s="197"/>
    </row>
    <row r="106" spans="1:12" s="191" customFormat="1" ht="12.75" customHeight="1">
      <c r="A106" s="204" t="str">
        <f t="shared" si="5"/>
        <v/>
      </c>
      <c r="B106" s="205" t="str">
        <f t="shared" si="5"/>
        <v>個</v>
      </c>
      <c r="C106" s="234" t="str">
        <f t="shared" si="5"/>
        <v/>
      </c>
      <c r="D106" s="139" t="str">
        <f t="shared" si="5"/>
        <v/>
      </c>
      <c r="E106" s="234">
        <f t="shared" si="5"/>
        <v>22</v>
      </c>
      <c r="F106" s="208" t="str">
        <f t="shared" si="5"/>
        <v/>
      </c>
      <c r="G106" s="209" t="str">
        <f t="shared" si="5"/>
        <v/>
      </c>
      <c r="H106" s="204" t="str">
        <f t="shared" si="5"/>
        <v/>
      </c>
      <c r="I106" s="315" t="str">
        <f t="shared" si="5"/>
        <v/>
      </c>
      <c r="J106" s="316" t="str">
        <f t="shared" si="5"/>
        <v/>
      </c>
      <c r="L106" s="197"/>
    </row>
    <row r="107" spans="1:12" s="191" customFormat="1" ht="12.75" customHeight="1">
      <c r="A107" s="210" t="str">
        <f t="shared" si="5"/>
        <v/>
      </c>
      <c r="B107" s="211" t="str">
        <f t="shared" si="5"/>
        <v>個</v>
      </c>
      <c r="C107" s="235" t="str">
        <f t="shared" si="5"/>
        <v/>
      </c>
      <c r="D107" s="140" t="str">
        <f t="shared" si="5"/>
        <v/>
      </c>
      <c r="E107" s="235">
        <f t="shared" si="5"/>
        <v>23</v>
      </c>
      <c r="F107" s="214" t="str">
        <f t="shared" si="5"/>
        <v/>
      </c>
      <c r="G107" s="215" t="str">
        <f t="shared" si="5"/>
        <v/>
      </c>
      <c r="H107" s="210" t="str">
        <f t="shared" si="5"/>
        <v/>
      </c>
      <c r="I107" s="326" t="str">
        <f t="shared" si="5"/>
        <v/>
      </c>
      <c r="J107" s="327" t="str">
        <f t="shared" si="5"/>
        <v/>
      </c>
      <c r="L107" s="197"/>
    </row>
    <row r="108" spans="1:12" s="191" customFormat="1" ht="12.75" customHeight="1">
      <c r="A108" s="225" t="str">
        <f t="shared" si="5"/>
        <v/>
      </c>
      <c r="B108" s="226" t="str">
        <f t="shared" si="5"/>
        <v>個</v>
      </c>
      <c r="C108" s="236" t="str">
        <f t="shared" si="5"/>
        <v/>
      </c>
      <c r="D108" s="141" t="str">
        <f t="shared" si="5"/>
        <v/>
      </c>
      <c r="E108" s="236">
        <f t="shared" si="5"/>
        <v>24</v>
      </c>
      <c r="F108" s="237" t="str">
        <f t="shared" si="5"/>
        <v/>
      </c>
      <c r="G108" s="230" t="str">
        <f t="shared" si="5"/>
        <v/>
      </c>
      <c r="H108" s="225" t="str">
        <f t="shared" si="5"/>
        <v/>
      </c>
      <c r="I108" s="328" t="str">
        <f t="shared" si="5"/>
        <v/>
      </c>
      <c r="J108" s="329" t="str">
        <f t="shared" si="5"/>
        <v/>
      </c>
      <c r="L108" s="197"/>
    </row>
    <row r="109" spans="1:12" s="191" customFormat="1" ht="12.75" customHeight="1">
      <c r="A109" s="204" t="str">
        <f t="shared" si="5"/>
        <v/>
      </c>
      <c r="B109" s="205" t="str">
        <f t="shared" si="5"/>
        <v>個</v>
      </c>
      <c r="C109" s="234" t="str">
        <f t="shared" si="5"/>
        <v/>
      </c>
      <c r="D109" s="139" t="str">
        <f t="shared" si="5"/>
        <v/>
      </c>
      <c r="E109" s="234">
        <f t="shared" si="5"/>
        <v>25</v>
      </c>
      <c r="F109" s="208" t="str">
        <f t="shared" si="5"/>
        <v/>
      </c>
      <c r="G109" s="209" t="str">
        <f t="shared" si="5"/>
        <v/>
      </c>
      <c r="H109" s="204" t="str">
        <f t="shared" si="5"/>
        <v/>
      </c>
      <c r="I109" s="315" t="str">
        <f t="shared" si="5"/>
        <v/>
      </c>
      <c r="J109" s="316" t="str">
        <f t="shared" si="5"/>
        <v/>
      </c>
      <c r="L109" s="197"/>
    </row>
    <row r="110" spans="1:12" s="191" customFormat="1" ht="12.75" customHeight="1">
      <c r="A110" s="210" t="str">
        <f t="shared" si="5"/>
        <v/>
      </c>
      <c r="B110" s="211" t="str">
        <f t="shared" si="5"/>
        <v>個</v>
      </c>
      <c r="C110" s="235" t="str">
        <f t="shared" si="5"/>
        <v/>
      </c>
      <c r="D110" s="140" t="str">
        <f t="shared" si="5"/>
        <v/>
      </c>
      <c r="E110" s="235">
        <f t="shared" si="5"/>
        <v>26</v>
      </c>
      <c r="F110" s="214" t="str">
        <f t="shared" si="5"/>
        <v/>
      </c>
      <c r="G110" s="215" t="str">
        <f t="shared" si="5"/>
        <v/>
      </c>
      <c r="H110" s="210" t="str">
        <f t="shared" si="5"/>
        <v/>
      </c>
      <c r="I110" s="326" t="str">
        <f t="shared" si="5"/>
        <v/>
      </c>
      <c r="J110" s="327" t="str">
        <f t="shared" si="5"/>
        <v/>
      </c>
    </row>
    <row r="111" spans="1:12" s="191" customFormat="1" ht="12.75" customHeight="1">
      <c r="A111" s="225" t="str">
        <f t="shared" si="5"/>
        <v/>
      </c>
      <c r="B111" s="226" t="str">
        <f t="shared" si="5"/>
        <v>個</v>
      </c>
      <c r="C111" s="236" t="str">
        <f t="shared" si="5"/>
        <v/>
      </c>
      <c r="D111" s="141" t="str">
        <f t="shared" si="5"/>
        <v/>
      </c>
      <c r="E111" s="236">
        <f t="shared" si="5"/>
        <v>27</v>
      </c>
      <c r="F111" s="237" t="str">
        <f t="shared" si="5"/>
        <v/>
      </c>
      <c r="G111" s="230" t="str">
        <f t="shared" si="5"/>
        <v/>
      </c>
      <c r="H111" s="225" t="str">
        <f t="shared" si="5"/>
        <v/>
      </c>
      <c r="I111" s="328" t="str">
        <f t="shared" si="5"/>
        <v/>
      </c>
      <c r="J111" s="329" t="str">
        <f t="shared" si="5"/>
        <v/>
      </c>
    </row>
    <row r="112" spans="1:12" s="191" customFormat="1" ht="12.75" customHeight="1">
      <c r="A112" s="204" t="str">
        <f t="shared" si="5"/>
        <v/>
      </c>
      <c r="B112" s="205" t="str">
        <f t="shared" si="5"/>
        <v>個</v>
      </c>
      <c r="C112" s="234" t="str">
        <f t="shared" si="5"/>
        <v/>
      </c>
      <c r="D112" s="139" t="str">
        <f t="shared" si="5"/>
        <v/>
      </c>
      <c r="E112" s="234">
        <f t="shared" si="5"/>
        <v>28</v>
      </c>
      <c r="F112" s="208" t="str">
        <f t="shared" si="5"/>
        <v/>
      </c>
      <c r="G112" s="209" t="str">
        <f t="shared" si="5"/>
        <v/>
      </c>
      <c r="H112" s="204" t="str">
        <f t="shared" si="5"/>
        <v/>
      </c>
      <c r="I112" s="315" t="str">
        <f t="shared" si="5"/>
        <v/>
      </c>
      <c r="J112" s="316" t="str">
        <f t="shared" si="5"/>
        <v/>
      </c>
    </row>
    <row r="113" spans="1:10" s="191" customFormat="1" ht="12.75" customHeight="1">
      <c r="A113" s="210" t="str">
        <f t="shared" ref="A113:J123" si="6">IF(A47="","",A47)</f>
        <v/>
      </c>
      <c r="B113" s="211" t="str">
        <f t="shared" si="6"/>
        <v>個</v>
      </c>
      <c r="C113" s="235" t="str">
        <f t="shared" si="6"/>
        <v/>
      </c>
      <c r="D113" s="140" t="str">
        <f t="shared" si="6"/>
        <v/>
      </c>
      <c r="E113" s="235">
        <f t="shared" si="6"/>
        <v>29</v>
      </c>
      <c r="F113" s="214" t="str">
        <f t="shared" si="6"/>
        <v/>
      </c>
      <c r="G113" s="215" t="str">
        <f t="shared" si="6"/>
        <v/>
      </c>
      <c r="H113" s="210" t="str">
        <f t="shared" si="6"/>
        <v/>
      </c>
      <c r="I113" s="326" t="str">
        <f t="shared" si="6"/>
        <v/>
      </c>
      <c r="J113" s="327" t="str">
        <f t="shared" si="6"/>
        <v/>
      </c>
    </row>
    <row r="114" spans="1:10" s="191" customFormat="1" ht="12.75" customHeight="1">
      <c r="A114" s="225" t="str">
        <f t="shared" si="6"/>
        <v/>
      </c>
      <c r="B114" s="226" t="str">
        <f t="shared" si="6"/>
        <v>個</v>
      </c>
      <c r="C114" s="236" t="str">
        <f t="shared" si="6"/>
        <v/>
      </c>
      <c r="D114" s="141" t="str">
        <f t="shared" si="6"/>
        <v/>
      </c>
      <c r="E114" s="236">
        <f t="shared" si="6"/>
        <v>30</v>
      </c>
      <c r="F114" s="237" t="str">
        <f t="shared" si="6"/>
        <v/>
      </c>
      <c r="G114" s="230" t="str">
        <f t="shared" si="6"/>
        <v/>
      </c>
      <c r="H114" s="225" t="str">
        <f t="shared" si="6"/>
        <v/>
      </c>
      <c r="I114" s="328" t="str">
        <f t="shared" si="6"/>
        <v/>
      </c>
      <c r="J114" s="329" t="str">
        <f t="shared" si="6"/>
        <v/>
      </c>
    </row>
    <row r="115" spans="1:10" s="191" customFormat="1" ht="12.75" customHeight="1">
      <c r="A115" s="204" t="str">
        <f t="shared" si="6"/>
        <v/>
      </c>
      <c r="B115" s="205" t="str">
        <f t="shared" si="6"/>
        <v>個</v>
      </c>
      <c r="C115" s="234" t="str">
        <f t="shared" si="6"/>
        <v/>
      </c>
      <c r="D115" s="139" t="str">
        <f t="shared" si="6"/>
        <v/>
      </c>
      <c r="E115" s="234">
        <f t="shared" si="6"/>
        <v>31</v>
      </c>
      <c r="F115" s="208" t="str">
        <f t="shared" si="6"/>
        <v/>
      </c>
      <c r="G115" s="209" t="str">
        <f t="shared" si="6"/>
        <v/>
      </c>
      <c r="H115" s="204" t="str">
        <f t="shared" si="6"/>
        <v/>
      </c>
      <c r="I115" s="315" t="str">
        <f t="shared" si="6"/>
        <v/>
      </c>
      <c r="J115" s="316" t="str">
        <f t="shared" si="6"/>
        <v/>
      </c>
    </row>
    <row r="116" spans="1:10" s="191" customFormat="1" ht="12.75" customHeight="1">
      <c r="A116" s="210" t="str">
        <f t="shared" si="6"/>
        <v/>
      </c>
      <c r="B116" s="211" t="str">
        <f t="shared" si="6"/>
        <v>個</v>
      </c>
      <c r="C116" s="235" t="str">
        <f t="shared" si="6"/>
        <v/>
      </c>
      <c r="D116" s="140" t="str">
        <f t="shared" si="6"/>
        <v/>
      </c>
      <c r="E116" s="235">
        <f t="shared" si="6"/>
        <v>32</v>
      </c>
      <c r="F116" s="214" t="str">
        <f t="shared" si="6"/>
        <v/>
      </c>
      <c r="G116" s="215" t="str">
        <f t="shared" si="6"/>
        <v/>
      </c>
      <c r="H116" s="210" t="str">
        <f t="shared" si="6"/>
        <v/>
      </c>
      <c r="I116" s="326" t="str">
        <f t="shared" si="6"/>
        <v/>
      </c>
      <c r="J116" s="327" t="str">
        <f t="shared" si="6"/>
        <v/>
      </c>
    </row>
    <row r="117" spans="1:10" s="191" customFormat="1" ht="12.75" customHeight="1">
      <c r="A117" s="225" t="str">
        <f t="shared" si="6"/>
        <v/>
      </c>
      <c r="B117" s="226" t="str">
        <f t="shared" si="6"/>
        <v>個</v>
      </c>
      <c r="C117" s="236" t="str">
        <f t="shared" si="6"/>
        <v/>
      </c>
      <c r="D117" s="141" t="str">
        <f t="shared" si="6"/>
        <v/>
      </c>
      <c r="E117" s="236">
        <f t="shared" si="6"/>
        <v>33</v>
      </c>
      <c r="F117" s="237" t="str">
        <f t="shared" si="6"/>
        <v/>
      </c>
      <c r="G117" s="230" t="str">
        <f t="shared" si="6"/>
        <v/>
      </c>
      <c r="H117" s="225" t="str">
        <f t="shared" si="6"/>
        <v/>
      </c>
      <c r="I117" s="328" t="str">
        <f t="shared" si="6"/>
        <v/>
      </c>
      <c r="J117" s="329" t="str">
        <f t="shared" si="6"/>
        <v/>
      </c>
    </row>
    <row r="118" spans="1:10" s="191" customFormat="1" ht="12.75" customHeight="1">
      <c r="A118" s="204" t="str">
        <f t="shared" si="6"/>
        <v/>
      </c>
      <c r="B118" s="205" t="str">
        <f t="shared" si="6"/>
        <v>個</v>
      </c>
      <c r="C118" s="234" t="str">
        <f t="shared" si="6"/>
        <v/>
      </c>
      <c r="D118" s="139" t="str">
        <f t="shared" si="6"/>
        <v/>
      </c>
      <c r="E118" s="234">
        <f t="shared" si="6"/>
        <v>34</v>
      </c>
      <c r="F118" s="208" t="str">
        <f t="shared" si="6"/>
        <v/>
      </c>
      <c r="G118" s="209" t="str">
        <f t="shared" si="6"/>
        <v/>
      </c>
      <c r="H118" s="204" t="str">
        <f t="shared" si="6"/>
        <v/>
      </c>
      <c r="I118" s="315" t="str">
        <f t="shared" si="6"/>
        <v/>
      </c>
      <c r="J118" s="316" t="str">
        <f t="shared" si="6"/>
        <v/>
      </c>
    </row>
    <row r="119" spans="1:10" s="191" customFormat="1" ht="12.75" customHeight="1">
      <c r="A119" s="210" t="str">
        <f t="shared" si="6"/>
        <v/>
      </c>
      <c r="B119" s="211" t="str">
        <f t="shared" si="6"/>
        <v>個</v>
      </c>
      <c r="C119" s="235" t="str">
        <f t="shared" si="6"/>
        <v/>
      </c>
      <c r="D119" s="140" t="str">
        <f t="shared" si="6"/>
        <v/>
      </c>
      <c r="E119" s="235">
        <f t="shared" si="6"/>
        <v>35</v>
      </c>
      <c r="F119" s="214" t="str">
        <f t="shared" si="6"/>
        <v/>
      </c>
      <c r="G119" s="215" t="str">
        <f t="shared" si="6"/>
        <v/>
      </c>
      <c r="H119" s="210" t="str">
        <f t="shared" si="6"/>
        <v/>
      </c>
      <c r="I119" s="326" t="str">
        <f t="shared" si="6"/>
        <v/>
      </c>
      <c r="J119" s="327" t="str">
        <f t="shared" si="6"/>
        <v/>
      </c>
    </row>
    <row r="120" spans="1:10" s="191" customFormat="1" ht="12.75" customHeight="1">
      <c r="A120" s="225" t="str">
        <f t="shared" si="6"/>
        <v/>
      </c>
      <c r="B120" s="226" t="str">
        <f t="shared" si="6"/>
        <v>個</v>
      </c>
      <c r="C120" s="236" t="str">
        <f t="shared" si="6"/>
        <v/>
      </c>
      <c r="D120" s="141" t="str">
        <f t="shared" si="6"/>
        <v/>
      </c>
      <c r="E120" s="236">
        <f t="shared" si="6"/>
        <v>36</v>
      </c>
      <c r="F120" s="237" t="str">
        <f t="shared" si="6"/>
        <v/>
      </c>
      <c r="G120" s="230" t="str">
        <f t="shared" si="6"/>
        <v/>
      </c>
      <c r="H120" s="225" t="str">
        <f t="shared" si="6"/>
        <v/>
      </c>
      <c r="I120" s="328" t="str">
        <f t="shared" si="6"/>
        <v/>
      </c>
      <c r="J120" s="329" t="str">
        <f t="shared" si="6"/>
        <v/>
      </c>
    </row>
    <row r="121" spans="1:10" s="191" customFormat="1" ht="12.75" customHeight="1">
      <c r="A121" s="204" t="str">
        <f t="shared" si="6"/>
        <v/>
      </c>
      <c r="B121" s="205" t="str">
        <f t="shared" si="6"/>
        <v>個</v>
      </c>
      <c r="C121" s="234" t="str">
        <f t="shared" si="6"/>
        <v/>
      </c>
      <c r="D121" s="139" t="str">
        <f t="shared" si="6"/>
        <v/>
      </c>
      <c r="E121" s="234">
        <f t="shared" si="6"/>
        <v>37</v>
      </c>
      <c r="F121" s="208" t="str">
        <f t="shared" si="6"/>
        <v/>
      </c>
      <c r="G121" s="209" t="str">
        <f t="shared" si="6"/>
        <v/>
      </c>
      <c r="H121" s="204" t="str">
        <f t="shared" si="6"/>
        <v/>
      </c>
      <c r="I121" s="315" t="str">
        <f t="shared" si="6"/>
        <v/>
      </c>
      <c r="J121" s="316" t="str">
        <f t="shared" si="6"/>
        <v/>
      </c>
    </row>
    <row r="122" spans="1:10" s="191" customFormat="1" ht="12.75" customHeight="1">
      <c r="A122" s="210" t="str">
        <f t="shared" si="6"/>
        <v/>
      </c>
      <c r="B122" s="211" t="str">
        <f t="shared" si="6"/>
        <v>個</v>
      </c>
      <c r="C122" s="235" t="str">
        <f t="shared" si="6"/>
        <v/>
      </c>
      <c r="D122" s="140" t="str">
        <f t="shared" si="6"/>
        <v/>
      </c>
      <c r="E122" s="235">
        <f t="shared" si="6"/>
        <v>38</v>
      </c>
      <c r="F122" s="214" t="str">
        <f t="shared" si="6"/>
        <v/>
      </c>
      <c r="G122" s="215" t="str">
        <f t="shared" si="6"/>
        <v/>
      </c>
      <c r="H122" s="210" t="str">
        <f t="shared" si="6"/>
        <v/>
      </c>
      <c r="I122" s="326" t="str">
        <f t="shared" si="6"/>
        <v/>
      </c>
      <c r="J122" s="327" t="str">
        <f t="shared" si="6"/>
        <v/>
      </c>
    </row>
    <row r="123" spans="1:10" s="191" customFormat="1" ht="12.75" customHeight="1">
      <c r="A123" s="225" t="str">
        <f t="shared" si="6"/>
        <v/>
      </c>
      <c r="B123" s="226" t="str">
        <f t="shared" si="6"/>
        <v>個</v>
      </c>
      <c r="C123" s="236" t="str">
        <f t="shared" si="6"/>
        <v/>
      </c>
      <c r="D123" s="141" t="str">
        <f t="shared" si="6"/>
        <v/>
      </c>
      <c r="E123" s="236">
        <f t="shared" si="6"/>
        <v>39</v>
      </c>
      <c r="F123" s="237" t="str">
        <f t="shared" si="6"/>
        <v/>
      </c>
      <c r="G123" s="230" t="str">
        <f t="shared" si="6"/>
        <v/>
      </c>
      <c r="H123" s="225" t="str">
        <f t="shared" si="6"/>
        <v/>
      </c>
      <c r="I123" s="328" t="str">
        <f t="shared" si="6"/>
        <v/>
      </c>
      <c r="J123" s="329" t="str">
        <f t="shared" si="6"/>
        <v/>
      </c>
    </row>
    <row r="124" spans="1:10" s="191" customFormat="1" ht="5.25" customHeight="1">
      <c r="H124" s="192"/>
    </row>
    <row r="125" spans="1:10" s="238" customFormat="1" ht="12.75" customHeight="1">
      <c r="A125" s="385" t="s">
        <v>406</v>
      </c>
      <c r="B125" s="385"/>
      <c r="C125" s="385"/>
      <c r="D125" s="385"/>
      <c r="E125" s="386">
        <f>E59</f>
        <v>43734</v>
      </c>
      <c r="F125" s="387"/>
    </row>
    <row r="126" spans="1:10" s="238" customFormat="1" ht="12.75" customHeight="1">
      <c r="A126" s="348"/>
      <c r="B126" s="348"/>
      <c r="C126" s="348"/>
      <c r="D126" s="348"/>
      <c r="E126" s="239"/>
      <c r="F126" s="239"/>
    </row>
    <row r="127" spans="1:10" s="238" customFormat="1" ht="12.75" customHeight="1">
      <c r="A127" s="348"/>
      <c r="B127" s="348"/>
      <c r="C127" s="348"/>
      <c r="D127" s="348"/>
    </row>
    <row r="128" spans="1:10" s="238" customFormat="1" ht="12.75" customHeight="1">
      <c r="A128" s="239" t="s">
        <v>507</v>
      </c>
      <c r="B128" s="383" t="str">
        <f>B62</f>
        <v/>
      </c>
      <c r="C128" s="383"/>
      <c r="D128" s="383"/>
      <c r="E128" s="239" t="s">
        <v>199</v>
      </c>
      <c r="F128" s="249" t="str">
        <f>F62</f>
        <v xml:space="preserve">○　○　○　○　 </v>
      </c>
      <c r="G128" s="347" t="s">
        <v>511</v>
      </c>
    </row>
    <row r="129" spans="1:11" s="238" customFormat="1" ht="12.75" customHeight="1">
      <c r="H129" s="240"/>
    </row>
    <row r="130" spans="1:11" s="238" customFormat="1" ht="12.75" customHeight="1">
      <c r="H130" s="240"/>
    </row>
    <row r="131" spans="1:11" s="238" customFormat="1" ht="12.75" customHeight="1">
      <c r="A131" s="239" t="s">
        <v>510</v>
      </c>
      <c r="B131" s="383" t="str">
        <f>B65</f>
        <v/>
      </c>
      <c r="C131" s="383"/>
      <c r="D131" s="383"/>
      <c r="E131" s="239" t="s">
        <v>509</v>
      </c>
      <c r="F131" s="249" t="str">
        <f>F65</f>
        <v xml:space="preserve">○　○　○　○　 </v>
      </c>
      <c r="G131" s="347" t="s">
        <v>511</v>
      </c>
      <c r="H131" s="240"/>
      <c r="K131" s="250"/>
    </row>
    <row r="132" spans="1:11" s="191" customFormat="1" ht="5.25" customHeight="1">
      <c r="H132" s="192"/>
    </row>
  </sheetData>
  <sheetProtection password="CC71" sheet="1" objects="1" scenarios="1"/>
  <mergeCells count="45">
    <mergeCell ref="A125:D125"/>
    <mergeCell ref="E125:F125"/>
    <mergeCell ref="B128:D128"/>
    <mergeCell ref="B131:D131"/>
    <mergeCell ref="A2:A4"/>
    <mergeCell ref="B75:C75"/>
    <mergeCell ref="D75:G75"/>
    <mergeCell ref="B77:G77"/>
    <mergeCell ref="A59:D59"/>
    <mergeCell ref="E59:F59"/>
    <mergeCell ref="B62:D62"/>
    <mergeCell ref="B65:D65"/>
    <mergeCell ref="C68:G68"/>
    <mergeCell ref="B70:C70"/>
    <mergeCell ref="D70:F70"/>
    <mergeCell ref="B9:C9"/>
    <mergeCell ref="I77:J77"/>
    <mergeCell ref="B95:G95"/>
    <mergeCell ref="I95:J95"/>
    <mergeCell ref="B72:C72"/>
    <mergeCell ref="D72:G72"/>
    <mergeCell ref="B73:C73"/>
    <mergeCell ref="D73:E73"/>
    <mergeCell ref="F73:G73"/>
    <mergeCell ref="B74:C74"/>
    <mergeCell ref="D74:E74"/>
    <mergeCell ref="F74:G74"/>
    <mergeCell ref="D9:G9"/>
    <mergeCell ref="B11:G11"/>
    <mergeCell ref="I11:J11"/>
    <mergeCell ref="B29:G29"/>
    <mergeCell ref="I29:J29"/>
    <mergeCell ref="B7:C7"/>
    <mergeCell ref="D7:E7"/>
    <mergeCell ref="F7:G7"/>
    <mergeCell ref="B8:C8"/>
    <mergeCell ref="D8:E8"/>
    <mergeCell ref="F8:G8"/>
    <mergeCell ref="B6:C6"/>
    <mergeCell ref="D6:G6"/>
    <mergeCell ref="C2:G2"/>
    <mergeCell ref="K2:K3"/>
    <mergeCell ref="L2:L3"/>
    <mergeCell ref="B4:C4"/>
    <mergeCell ref="D4:F4"/>
  </mergeCells>
  <phoneticPr fontId="2"/>
  <dataValidations count="1">
    <dataValidation type="list" allowBlank="1" showInputMessage="1" showErrorMessage="1" sqref="I31:I57 I13:I24">
      <formula1>"なし,あり→"</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L128"/>
  <sheetViews>
    <sheetView zoomScaleNormal="100" workbookViewId="0"/>
  </sheetViews>
  <sheetFormatPr defaultColWidth="9" defaultRowHeight="12.75"/>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10" width="3.875" style="143" customWidth="1"/>
    <col min="11" max="16384" width="9" style="143"/>
  </cols>
  <sheetData>
    <row r="1" spans="1:12" ht="12.75" customHeight="1"/>
    <row r="2" spans="1:12" ht="22.5" customHeight="1">
      <c r="A2" s="382" t="s">
        <v>518</v>
      </c>
      <c r="B2" s="340">
        <v>1</v>
      </c>
      <c r="C2" s="424" t="str">
        <f>日!B1&amp;"県高校弓道地区大会（西毛）"</f>
        <v>令和元年度県高校弓道地区大会（西毛）</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301"/>
      <c r="H4" s="302"/>
      <c r="K4" s="62" t="s">
        <v>531</v>
      </c>
      <c r="L4" s="62" t="s">
        <v>531</v>
      </c>
    </row>
    <row r="5" spans="1:12" ht="12.75" customHeight="1">
      <c r="B5" s="144"/>
      <c r="C5" s="144"/>
      <c r="D5" s="145"/>
      <c r="E5" s="145"/>
      <c r="F5" s="145"/>
      <c r="G5" s="145"/>
      <c r="K5" s="341" t="str">
        <f>SUBSTITUTE(SUBSTITUTE(K4," ",""),"　","")</f>
        <v>○○</v>
      </c>
      <c r="L5" s="341" t="str">
        <f>SUBSTITUTE(SUBSTITUTE(L4," ",""),"　","")</f>
        <v>○○</v>
      </c>
    </row>
    <row r="6" spans="1:12" ht="12.75" customHeight="1">
      <c r="B6" s="411" t="s">
        <v>39</v>
      </c>
      <c r="C6" s="411"/>
      <c r="D6" s="427">
        <v>11</v>
      </c>
      <c r="E6" s="427"/>
      <c r="F6" s="427"/>
      <c r="G6" s="427"/>
      <c r="I6" s="147"/>
    </row>
    <row r="7" spans="1:12" ht="12.75" customHeight="1">
      <c r="B7" s="411" t="s">
        <v>40</v>
      </c>
      <c r="C7" s="411"/>
      <c r="D7" s="422">
        <f>VLOOKUP(D6,日!$B$2:$F$111,3,0)</f>
        <v>43734</v>
      </c>
      <c r="E7" s="423"/>
      <c r="F7" s="416" t="str">
        <f>TEXT(WEEKDAY(D7,1),"aaaa")&amp;"　１６時"</f>
        <v>木曜日　１６時</v>
      </c>
      <c r="G7" s="417"/>
      <c r="I7" s="147"/>
    </row>
    <row r="8" spans="1:12" ht="12.75" customHeight="1">
      <c r="B8" s="411" t="s">
        <v>38</v>
      </c>
      <c r="C8" s="411"/>
      <c r="D8" s="418">
        <f>VLOOKUP(D6,日!$B$2:$F$111,5,0)</f>
        <v>43743</v>
      </c>
      <c r="E8" s="419"/>
      <c r="F8" s="420" t="str">
        <f>TEXT(WEEKDAY(D8,1),"aaaa")</f>
        <v>土曜日</v>
      </c>
      <c r="G8" s="421"/>
      <c r="I8" s="147"/>
    </row>
    <row r="9" spans="1:12" ht="12.75" customHeight="1">
      <c r="B9" s="411" t="s">
        <v>41</v>
      </c>
      <c r="C9" s="411"/>
      <c r="D9" s="412" t="s">
        <v>52</v>
      </c>
      <c r="E9" s="453"/>
      <c r="F9" s="453"/>
      <c r="G9" s="413"/>
      <c r="I9" s="147"/>
    </row>
    <row r="10" spans="1:12" ht="12.75" customHeight="1">
      <c r="B10" s="147" t="s">
        <v>62</v>
      </c>
      <c r="C10" s="147"/>
      <c r="D10" s="146"/>
      <c r="E10" s="146"/>
      <c r="F10" s="146"/>
      <c r="G10" s="146"/>
      <c r="I10" s="147"/>
    </row>
    <row r="11" spans="1:12" ht="22.5" customHeight="1">
      <c r="B11" s="414" t="str">
        <f>IF(B2=1,"男　子　団　体　参　加　申　込　書","女　子　団　体　参　加　申　込　書")</f>
        <v>男　子　団　体　参　加　申　込　書</v>
      </c>
      <c r="C11" s="414"/>
      <c r="D11" s="414"/>
      <c r="E11" s="414"/>
      <c r="F11" s="414"/>
      <c r="G11" s="414"/>
      <c r="I11" s="451" t="s">
        <v>53</v>
      </c>
      <c r="J11" s="452"/>
    </row>
    <row r="12" spans="1:12" ht="12.75" customHeight="1">
      <c r="A12" s="340" t="s">
        <v>32</v>
      </c>
      <c r="B12" s="148" t="s">
        <v>51</v>
      </c>
      <c r="C12" s="149" t="s">
        <v>10</v>
      </c>
      <c r="D12" s="150" t="s">
        <v>33</v>
      </c>
      <c r="E12" s="151" t="s">
        <v>12</v>
      </c>
      <c r="F12" s="152" t="s">
        <v>13</v>
      </c>
      <c r="G12" s="153" t="s">
        <v>14</v>
      </c>
      <c r="H12" s="340" t="s">
        <v>47</v>
      </c>
      <c r="I12" s="340" t="s">
        <v>54</v>
      </c>
      <c r="J12" s="340" t="s">
        <v>55</v>
      </c>
    </row>
    <row r="13" spans="1:12" ht="12.75" customHeight="1">
      <c r="A13" s="154" t="str">
        <f>IF($B$2=1,IF($D$13="","",VLOOKUP(登!$D$1,立男!$A$4:$I$100,4,0)),IF($D$13="","",VLOOKUP(登!$D$1,立女!$A$4:$I$100,4,0)))</f>
        <v/>
      </c>
      <c r="B13" s="155" t="s">
        <v>56</v>
      </c>
      <c r="C13" s="156" t="str">
        <f>IF(D13="","",登!$F$1)</f>
        <v/>
      </c>
      <c r="D13" s="63"/>
      <c r="E13" s="157">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4" t="str">
        <f t="shared" ref="H13:H20" si="0">IF(D13="","",IF(COUNTIF($D$13:$D$20,D13)+COUNTIF($D$26:$D$55,D13)&gt;1,"選手重複!!","OK"))</f>
        <v/>
      </c>
      <c r="I13" s="496"/>
      <c r="J13" s="497"/>
    </row>
    <row r="14" spans="1:12" ht="12.75" customHeight="1">
      <c r="A14" s="303" t="str">
        <f>IF($B$2=1,IF($D$13="","",VLOOKUP(登!$D$1,立男!$A$4:$I$100,4,0)),IF($D$13="","",VLOOKUP(登!$D$1,立女!$A$4:$I$100,4,0)))</f>
        <v/>
      </c>
      <c r="B14" s="304" t="s">
        <v>16</v>
      </c>
      <c r="C14" s="305" t="str">
        <f>IF(D14="","",登!$F$1)</f>
        <v/>
      </c>
      <c r="D14" s="495"/>
      <c r="E14" s="306">
        <v>2</v>
      </c>
      <c r="F14" s="307" t="str">
        <f>IF(D14="","",IF(COUNTIF($D$13:D14,"")&gt;0,"大前から詰めて入力",IF(INT(VALUE(RIGHT(D14,3))/100)=$B$2,VLOOKUP(D14,登!$B$4:$I$103,7,0),"部員番号入力ミス")))</f>
        <v/>
      </c>
      <c r="G14" s="308" t="str">
        <f>IF(D14="","",IF(INT(VALUE(RIGHT(D14,3))/100)=$B$2,IF(VLOOKUP(D14,登!$B$4:$I$103,2,0)=登!$B$1,1,IF(VLOOKUP(D14,登!$B$4:$I$103,2,0)=登!$B$1-1,2,IF(VLOOKUP(D14,登!$B$4:$I$103,2,0)=登!$B$1-2,3,"学年ミス"))),"番号ミス"))</f>
        <v/>
      </c>
      <c r="H14" s="303" t="str">
        <f t="shared" si="0"/>
        <v/>
      </c>
      <c r="I14" s="498"/>
      <c r="J14" s="499"/>
    </row>
    <row r="15" spans="1:12" ht="12.75" customHeight="1">
      <c r="A15" s="160" t="str">
        <f>IF($B$2=1,IF($D$13="","",VLOOKUP(登!$D$1,立男!$A$4:$I$100,4,0)),IF($D$13="","",VLOOKUP(登!$D$1,立女!$A$4:$I$100,4,0)))</f>
        <v/>
      </c>
      <c r="B15" s="161" t="s">
        <v>56</v>
      </c>
      <c r="C15" s="162" t="str">
        <f>IF(D15="","",登!$F$1)</f>
        <v/>
      </c>
      <c r="D15" s="64"/>
      <c r="E15" s="163">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0" t="str">
        <f t="shared" si="0"/>
        <v/>
      </c>
      <c r="I15" s="500"/>
      <c r="J15" s="501"/>
    </row>
    <row r="16" spans="1:12" ht="12.75" customHeight="1">
      <c r="A16" s="175" t="str">
        <f>IF($B$2=1,IF($D$13="","",VLOOKUP(登!$D$1,立男!$A$4:$I$100,4,0)),IF($D$13="","",VLOOKUP(登!$D$1,立女!$A$4:$I$100,4,0)))</f>
        <v/>
      </c>
      <c r="B16" s="176" t="s">
        <v>56</v>
      </c>
      <c r="C16" s="177" t="str">
        <f>IF(D16="","",登!$F$1)</f>
        <v/>
      </c>
      <c r="D16" s="66"/>
      <c r="E16" s="179">
        <v>4</v>
      </c>
      <c r="F16" s="188" t="str">
        <f>IF(D16="","",IF(COUNTIF($D$13:D16,"")&gt;0,"大前から詰めて入力",IF(INT(VALUE(RIGHT(D16,3))/100)=$B$2,VLOOKUP(D16,登!$B$4:$I$103,7,0),"部員番号入力ミス")))</f>
        <v/>
      </c>
      <c r="G16" s="181" t="str">
        <f>IF(D16="","",IF(INT(VALUE(RIGHT(D16,3))/100)=$B$2,IF(VLOOKUP(D16,登!$B$4:$I$103,2,0)=登!$B$1,1,IF(VLOOKUP(D16,登!$B$4:$I$103,2,0)=登!$B$1-1,2,IF(VLOOKUP(D16,登!$B$4:$I$103,2,0)=登!$B$1-2,3,"学年ミス"))),"番号ミス"))</f>
        <v/>
      </c>
      <c r="H16" s="175" t="str">
        <f t="shared" si="0"/>
        <v/>
      </c>
      <c r="I16" s="502"/>
      <c r="J16" s="503"/>
    </row>
    <row r="17" spans="1:10" ht="12.75" customHeight="1">
      <c r="A17" s="154" t="str">
        <f>IF($B$2=1,IF($D$17="","",VLOOKUP(登!$D$1,立男!$A$4:$I$100,4,0)+100),IF($D$17="","",VLOOKUP(登!$D$1,立女!$A$4:$I$100,4,0)+100))</f>
        <v/>
      </c>
      <c r="B17" s="155" t="s">
        <v>57</v>
      </c>
      <c r="C17" s="156" t="str">
        <f>IF(D17="","",登!$F$1)</f>
        <v/>
      </c>
      <c r="D17" s="63"/>
      <c r="E17" s="157">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4" t="str">
        <f t="shared" si="0"/>
        <v/>
      </c>
      <c r="I17" s="496"/>
      <c r="J17" s="497"/>
    </row>
    <row r="18" spans="1:10" ht="12.75" customHeight="1">
      <c r="A18" s="303" t="str">
        <f>IF($B$2=1,IF($D$17="","",VLOOKUP(登!$D$1,立男!$A$4:$I$100,4,0)+100),IF($D$17="","",VLOOKUP(登!$D$1,立女!$A$4:$I$100,4,0)+100))</f>
        <v/>
      </c>
      <c r="B18" s="304" t="s">
        <v>17</v>
      </c>
      <c r="C18" s="305" t="str">
        <f>IF(D18="","",登!$F$1)</f>
        <v/>
      </c>
      <c r="D18" s="495"/>
      <c r="E18" s="306">
        <v>6</v>
      </c>
      <c r="F18" s="307" t="str">
        <f>IF(D18="","",IF(COUNTIF($D$13:$D$16,"")=4,"Ａチームから入力",IF(COUNTIF($D$17:D18,"")&gt;0,"大前から詰めて入力",IF(INT(VALUE(RIGHT(D18,3))/100)=$B$2,VLOOKUP(D18,登!$B$4:$I$103,7,0),"部員番号入力ミス"))))</f>
        <v/>
      </c>
      <c r="G18" s="308" t="str">
        <f>IF(D18="","",IF(INT(VALUE(RIGHT(D18,3))/100)=$B$2,IF(VLOOKUP(D18,登!$B$4:$I$103,2,0)=登!$B$1,1,IF(VLOOKUP(D18,登!$B$4:$I$103,2,0)=登!$B$1-1,2,IF(VLOOKUP(D18,登!$B$4:$I$103,2,0)=登!$B$1-2,3,"学年ミス"))),"番号ミス"))</f>
        <v/>
      </c>
      <c r="H18" s="303" t="str">
        <f t="shared" si="0"/>
        <v/>
      </c>
      <c r="I18" s="498"/>
      <c r="J18" s="499"/>
    </row>
    <row r="19" spans="1:10" ht="12.75" customHeight="1">
      <c r="A19" s="160" t="str">
        <f>IF($B$2=1,IF($D$17="","",VLOOKUP(登!$D$1,立男!$A$4:$I$100,4,0)+100),IF($D$17="","",VLOOKUP(登!$D$1,立女!$A$4:$I$100,4,0)+100))</f>
        <v/>
      </c>
      <c r="B19" s="161" t="s">
        <v>57</v>
      </c>
      <c r="C19" s="162" t="str">
        <f>IF(D19="","",登!$F$1)</f>
        <v/>
      </c>
      <c r="D19" s="64"/>
      <c r="E19" s="163">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0" t="str">
        <f t="shared" si="0"/>
        <v/>
      </c>
      <c r="I19" s="500"/>
      <c r="J19" s="501"/>
    </row>
    <row r="20" spans="1:10" ht="12.75" customHeight="1">
      <c r="A20" s="175" t="str">
        <f>IF($B$2=1,IF($D$17="","",VLOOKUP(登!$D$1,立男!$A$4:$I$100,4,0)+100),IF($D$17="","",VLOOKUP(登!$D$1,立女!$A$4:$I$100,4,0)+100))</f>
        <v/>
      </c>
      <c r="B20" s="176" t="s">
        <v>57</v>
      </c>
      <c r="C20" s="177" t="str">
        <f>IF(D20="","",登!$F$1)</f>
        <v/>
      </c>
      <c r="D20" s="66"/>
      <c r="E20" s="179">
        <v>8</v>
      </c>
      <c r="F20" s="188" t="str">
        <f>IF(D20="","",IF(COUNTIF($D$13:$D$16,"")=4,"Ａチームから入力",IF(COUNTIF($D$17:D20,"")&gt;0,"大前から詰めて入力",IF(INT(VALUE(RIGHT(D20,3))/100)=$B$2,VLOOKUP(D20,登!$B$4:$I$103,7,0),"部員番号入力ミス"))))</f>
        <v/>
      </c>
      <c r="G20" s="181" t="str">
        <f>IF(D20="","",IF(INT(VALUE(RIGHT(D20,3))/100)=$B$2,IF(VLOOKUP(D20,登!$B$4:$I$103,2,0)=登!$B$1,1,IF(VLOOKUP(D20,登!$B$4:$I$103,2,0)=登!$B$1-1,2,IF(VLOOKUP(D20,登!$B$4:$I$103,2,0)=登!$B$1-2,3,"学年ミス"))),"番号ミス"))</f>
        <v/>
      </c>
      <c r="H20" s="175" t="str">
        <f t="shared" si="0"/>
        <v/>
      </c>
      <c r="I20" s="502"/>
      <c r="J20" s="503"/>
    </row>
    <row r="21" spans="1:10" ht="12.75" customHeight="1">
      <c r="A21" s="154" t="str">
        <f>IF($B$2=1,IF($D$21="","",VLOOKUP(登!$D$1,立男!$A$4:$I$100,4,0)+300),IF($D$21="","",VLOOKUP(登!$D$1,立女!$A$4:$I$100,4,0)+300))</f>
        <v/>
      </c>
      <c r="B21" s="155" t="s">
        <v>61</v>
      </c>
      <c r="C21" s="156" t="str">
        <f>IF(D21="","",登!$F$1)</f>
        <v/>
      </c>
      <c r="D21" s="172" t="str">
        <f>IF(D16="","",D16)</f>
        <v/>
      </c>
      <c r="E21" s="157">
        <v>4</v>
      </c>
      <c r="F21" s="173" t="str">
        <f>IF(F16="","",F16)</f>
        <v/>
      </c>
      <c r="G21" s="159" t="str">
        <f>IF(D21="","",IF(INT(VALUE(RIGHT(D21,3))/100)=$B$2,IF(VLOOKUP(D21,登!$B$4:$I$103,2,0)=登!$B$1,1,IF(VLOOKUP(D21,登!$B$4:$I$103,2,0)=登!$B$1-1,2,IF(VLOOKUP(D21,登!$B$4:$I$103,2,0)=登!$B$1-2,3,"学年ミス"))),"番号ミス"))</f>
        <v/>
      </c>
      <c r="H21" s="174"/>
      <c r="I21" s="309" t="str">
        <f>IF(I16="","",I16)</f>
        <v/>
      </c>
      <c r="J21" s="310" t="str">
        <f>IF(J16="","",J16)</f>
        <v/>
      </c>
    </row>
    <row r="22" spans="1:10" ht="12.75" customHeight="1">
      <c r="A22" s="175" t="str">
        <f>IF($B$2=1,IF($D$21="","",VLOOKUP(登!$D$1,立男!$A$4:$I$100,4,0)+300),IF($D$21="","",VLOOKUP(登!$D$1,立女!$A$4:$I$100,4,0)+300))</f>
        <v/>
      </c>
      <c r="B22" s="176" t="s">
        <v>57</v>
      </c>
      <c r="C22" s="177" t="str">
        <f>IF(D22="","",登!$F$1)</f>
        <v/>
      </c>
      <c r="D22" s="178" t="str">
        <f>IF(D20="","",D20)</f>
        <v/>
      </c>
      <c r="E22" s="179">
        <v>8</v>
      </c>
      <c r="F22" s="180" t="str">
        <f>IF(F20="","",F20)</f>
        <v/>
      </c>
      <c r="G22" s="181" t="str">
        <f>IF(D22="","",IF(INT(VALUE(RIGHT(D22,3))/100)=$B$2,IF(VLOOKUP(D22,登!$B$4:$I$103,2,0)=登!$B$1,1,IF(VLOOKUP(D22,登!$B$4:$I$103,2,0)=登!$B$1-1,2,IF(VLOOKUP(D22,登!$B$4:$I$103,2,0)=登!$B$1-2,3,"学年ミス"))),"番号ミス"))</f>
        <v/>
      </c>
      <c r="H22" s="182"/>
      <c r="I22" s="311" t="str">
        <f>IF(I20="","",I20)</f>
        <v/>
      </c>
      <c r="J22" s="312" t="str">
        <f>IF(J20="","",J20)</f>
        <v/>
      </c>
    </row>
    <row r="23" spans="1:10" ht="12.75" customHeight="1">
      <c r="B23" s="313" t="s">
        <v>15</v>
      </c>
      <c r="C23" s="302"/>
      <c r="D23" s="302"/>
      <c r="E23" s="302"/>
      <c r="F23" s="302"/>
      <c r="G23" s="302"/>
    </row>
    <row r="24" spans="1:10" ht="22.5" customHeight="1">
      <c r="B24" s="414" t="str">
        <f>IF(B2=1,"男　子　個　人　参　加　申　込　書","女　子　個　人　参　加　申　込　書")</f>
        <v>男　子　個　人　参　加　申　込　書</v>
      </c>
      <c r="C24" s="414"/>
      <c r="D24" s="414"/>
      <c r="E24" s="414"/>
      <c r="F24" s="414"/>
      <c r="G24" s="414"/>
      <c r="I24" s="451" t="s">
        <v>53</v>
      </c>
      <c r="J24" s="452"/>
    </row>
    <row r="25" spans="1:10" ht="12.75" customHeight="1">
      <c r="A25" s="340" t="s">
        <v>32</v>
      </c>
      <c r="B25" s="148" t="s">
        <v>51</v>
      </c>
      <c r="C25" s="152" t="s">
        <v>10</v>
      </c>
      <c r="D25" s="150" t="s">
        <v>33</v>
      </c>
      <c r="E25" s="152" t="s">
        <v>12</v>
      </c>
      <c r="F25" s="152" t="s">
        <v>13</v>
      </c>
      <c r="G25" s="153" t="s">
        <v>14</v>
      </c>
      <c r="H25" s="340" t="s">
        <v>47</v>
      </c>
      <c r="I25" s="340" t="s">
        <v>54</v>
      </c>
      <c r="J25" s="340" t="s">
        <v>55</v>
      </c>
    </row>
    <row r="26" spans="1:10" ht="12.75" customHeight="1">
      <c r="A26" s="154" t="str">
        <f>IF($B$2=1,IF($D$26="","",VLOOKUP(登!$D$1,立男!$A$4:$I$100,4,0)+400),IF($D$26="","",VLOOKUP(登!$D$1,立女!$A$4:$I$100,4,0)+400))</f>
        <v/>
      </c>
      <c r="B26" s="155" t="s">
        <v>21</v>
      </c>
      <c r="C26" s="185" t="str">
        <f>IF(D26="","",登!$F$1)</f>
        <v/>
      </c>
      <c r="D26" s="63"/>
      <c r="E26" s="185">
        <v>9</v>
      </c>
      <c r="F26" s="158" t="str">
        <f>IF(D26="","",IF(COUNTIF($D$13:$D$20,"")&gt;0,"団体から入力",IF(INT(VALUE(RIGHT(D26,3))/100)=$B$2,VLOOKUP(D26,登!$B$4:$I$103,7,0),"部員番号入力ミス")))</f>
        <v/>
      </c>
      <c r="G26" s="159" t="str">
        <f>IF(D26="","",IF(INT(VALUE(RIGHT(D26,3))/100)=$B$2,IF(VLOOKUP(D26,登!$B$4:$I$103,2,0)=登!$B$1,1,IF(VLOOKUP(D26,登!$B$4:$I$103,2,0)=登!$B$1-1,2,IF(VLOOKUP(D26,登!$B$4:$I$103,2,0)=登!$B$1-2,3,"学年ミス"))),"番号ミス"))</f>
        <v/>
      </c>
      <c r="H26" s="154" t="str">
        <f t="shared" ref="H26:H55" si="1">IF(D26="","",IF(COUNTIF($D$13:$D$20,D26)+COUNTIF($D$26:$D$55,D26)&gt;1,"選手重複!!","OK"))</f>
        <v/>
      </c>
      <c r="I26" s="496"/>
      <c r="J26" s="497"/>
    </row>
    <row r="27" spans="1:10" ht="12.75" customHeight="1">
      <c r="A27" s="160" t="str">
        <f>IF($B$2=1,IF($D$26="","",VLOOKUP(登!$D$1,立男!$A$4:$I$100,4,0)+400),IF($D$26="","",VLOOKUP(登!$D$1,立女!$A$4:$I$100,4,0)+400))</f>
        <v/>
      </c>
      <c r="B27" s="161" t="s">
        <v>21</v>
      </c>
      <c r="C27" s="186" t="str">
        <f>IF(D27="","",登!$F$1)</f>
        <v/>
      </c>
      <c r="D27" s="64"/>
      <c r="E27" s="186">
        <v>10</v>
      </c>
      <c r="F27" s="164" t="str">
        <f>IF(D27="","",IF(COUNTIF($D$13:$D$20,"")&gt;0,"団体から入力",IF(COUNTIF($D$26:D27,"")&gt;0,"上から詰めて入力",IF(INT(VALUE(RIGHT(D27,3))/100)=$B$2,VLOOKUP(D27,登!$B$4:$I$103,7,0),"部員番号入力ミス"))))</f>
        <v/>
      </c>
      <c r="G27" s="165" t="str">
        <f>IF(D27="","",IF(INT(VALUE(RIGHT(D27,3))/100)=$B$2,IF(VLOOKUP(D27,登!$B$4:$I$103,2,0)=登!$B$1,1,IF(VLOOKUP(D27,登!$B$4:$I$103,2,0)=登!$B$1-1,2,IF(VLOOKUP(D27,登!$B$4:$I$103,2,0)=登!$B$1-2,3,"学年ミス"))),"番号ミス"))</f>
        <v/>
      </c>
      <c r="H27" s="160" t="str">
        <f t="shared" si="1"/>
        <v/>
      </c>
      <c r="I27" s="500"/>
      <c r="J27" s="501"/>
    </row>
    <row r="28" spans="1:10" ht="12.75" customHeight="1">
      <c r="A28" s="175" t="str">
        <f>IF($B$2=1,IF($D$26="","",VLOOKUP(登!$D$1,立男!$A$4:$I$100,4,0)+400),IF($D$26="","",VLOOKUP(登!$D$1,立女!$A$4:$I$100,4,0)+400))</f>
        <v/>
      </c>
      <c r="B28" s="176" t="s">
        <v>21</v>
      </c>
      <c r="C28" s="187" t="str">
        <f>IF(D28="","",登!$F$1)</f>
        <v/>
      </c>
      <c r="D28" s="66"/>
      <c r="E28" s="187">
        <v>11</v>
      </c>
      <c r="F28" s="188" t="str">
        <f>IF(D28="","",IF(COUNTIF($D$13:$D$20,"")&gt;0,"団体から入力",IF(COUNTIF($D$26:D28,"")&gt;0,"上から詰めて入力",IF(INT(VALUE(RIGHT(D28,3))/100)=$B$2,VLOOKUP(D28,登!$B$4:$I$103,7,0),"部員番号入力ミス"))))</f>
        <v/>
      </c>
      <c r="G28" s="181" t="str">
        <f>IF(D28="","",IF(INT(VALUE(RIGHT(D28,3))/100)=$B$2,IF(VLOOKUP(D28,登!$B$4:$I$103,2,0)=登!$B$1,1,IF(VLOOKUP(D28,登!$B$4:$I$103,2,0)=登!$B$1-1,2,IF(VLOOKUP(D28,登!$B$4:$I$103,2,0)=登!$B$1-2,3,"学年ミス"))),"番号ミス"))</f>
        <v/>
      </c>
      <c r="H28" s="175" t="str">
        <f t="shared" si="1"/>
        <v/>
      </c>
      <c r="I28" s="502"/>
      <c r="J28" s="503"/>
    </row>
    <row r="29" spans="1:10" ht="12.75" customHeight="1">
      <c r="A29" s="154" t="str">
        <f>IF($B$2=1,IF($D$29="","",VLOOKUP(登!$D$1,立男!$A$4:$I$100,4,0)+500),IF($D$29="","",VLOOKUP(登!$D$1,立女!$A$4:$I$100,4,0)+500))</f>
        <v/>
      </c>
      <c r="B29" s="155" t="s">
        <v>21</v>
      </c>
      <c r="C29" s="185" t="str">
        <f>IF(D29="","",登!$F$1)</f>
        <v/>
      </c>
      <c r="D29" s="63"/>
      <c r="E29" s="185">
        <v>12</v>
      </c>
      <c r="F29" s="158" t="str">
        <f>IF(D29="","",IF(COUNTIF($D$13:$D$20,"")&gt;0,"団体から入力",IF(COUNTIF($D$26:D29,"")&gt;0,"上から詰めて入力",IF(INT(VALUE(RIGHT(D29,3))/100)=$B$2,VLOOKUP(D29,登!$B$4:$I$103,7,0),"部員番号入力ミス"))))</f>
        <v/>
      </c>
      <c r="G29" s="159" t="str">
        <f>IF(D29="","",IF(INT(VALUE(RIGHT(D29,3))/100)=$B$2,IF(VLOOKUP(D29,登!$B$4:$I$103,2,0)=登!$B$1,1,IF(VLOOKUP(D29,登!$B$4:$I$103,2,0)=登!$B$1-1,2,IF(VLOOKUP(D29,登!$B$4:$I$103,2,0)=登!$B$1-2,3,"学年ミス"))),"番号ミス"))</f>
        <v/>
      </c>
      <c r="H29" s="154" t="str">
        <f t="shared" si="1"/>
        <v/>
      </c>
      <c r="I29" s="496"/>
      <c r="J29" s="497"/>
    </row>
    <row r="30" spans="1:10" ht="12.75" customHeight="1">
      <c r="A30" s="160" t="str">
        <f>IF($B$2=1,IF($D$29="","",VLOOKUP(登!$D$1,立男!$A$4:$I$100,4,0)+500),IF($D$29="","",VLOOKUP(登!$D$1,立女!$A$4:$I$100,4,0)+500))</f>
        <v/>
      </c>
      <c r="B30" s="161" t="s">
        <v>21</v>
      </c>
      <c r="C30" s="186" t="str">
        <f>IF(D30="","",登!$F$1)</f>
        <v/>
      </c>
      <c r="D30" s="64"/>
      <c r="E30" s="186">
        <v>13</v>
      </c>
      <c r="F30" s="164" t="str">
        <f>IF(D30="","",IF(COUNTIF($D$13:$D$20,"")&gt;0,"団体から入力",IF(COUNTIF($D$26:D30,"")&gt;0,"上から詰めて入力",IF(INT(VALUE(RIGHT(D30,3))/100)=$B$2,VLOOKUP(D30,登!$B$4:$I$103,7,0),"部員番号入力ミス"))))</f>
        <v/>
      </c>
      <c r="G30" s="165" t="str">
        <f>IF(D30="","",IF(INT(VALUE(RIGHT(D30,3))/100)=$B$2,IF(VLOOKUP(D30,登!$B$4:$I$103,2,0)=登!$B$1,1,IF(VLOOKUP(D30,登!$B$4:$I$103,2,0)=登!$B$1-1,2,IF(VLOOKUP(D30,登!$B$4:$I$103,2,0)=登!$B$1-2,3,"学年ミス"))),"番号ミス"))</f>
        <v/>
      </c>
      <c r="H30" s="160" t="str">
        <f t="shared" si="1"/>
        <v/>
      </c>
      <c r="I30" s="500"/>
      <c r="J30" s="501"/>
    </row>
    <row r="31" spans="1:10" ht="12.75" customHeight="1">
      <c r="A31" s="175" t="str">
        <f>IF($B$2=1,IF($D$29="","",VLOOKUP(登!$D$1,立男!$A$4:$I$100,4,0)+500),IF($D$29="","",VLOOKUP(登!$D$1,立女!$A$4:$I$100,4,0)+500))</f>
        <v/>
      </c>
      <c r="B31" s="176" t="s">
        <v>21</v>
      </c>
      <c r="C31" s="187" t="str">
        <f>IF(D31="","",登!$F$1)</f>
        <v/>
      </c>
      <c r="D31" s="66"/>
      <c r="E31" s="187">
        <v>14</v>
      </c>
      <c r="F31" s="188" t="str">
        <f>IF(D31="","",IF(COUNTIF($D$13:$D$20,"")&gt;0,"団体から入力",IF(COUNTIF($D$26:D31,"")&gt;0,"上から詰めて入力",IF(INT(VALUE(RIGHT(D31,3))/100)=$B$2,VLOOKUP(D31,登!$B$4:$I$103,7,0),"部員番号入力ミス"))))</f>
        <v/>
      </c>
      <c r="G31" s="181" t="str">
        <f>IF(D31="","",IF(INT(VALUE(RIGHT(D31,3))/100)=$B$2,IF(VLOOKUP(D31,登!$B$4:$I$103,2,0)=登!$B$1,1,IF(VLOOKUP(D31,登!$B$4:$I$103,2,0)=登!$B$1-1,2,IF(VLOOKUP(D31,登!$B$4:$I$103,2,0)=登!$B$1-2,3,"学年ミス"))),"番号ミス"))</f>
        <v/>
      </c>
      <c r="H31" s="175" t="str">
        <f t="shared" si="1"/>
        <v/>
      </c>
      <c r="I31" s="502"/>
      <c r="J31" s="503"/>
    </row>
    <row r="32" spans="1:10" ht="12.75" customHeight="1">
      <c r="A32" s="154" t="str">
        <f>IF($B$2=1,IF($D$32="","",VLOOKUP(登!$D$1,立男!$A$4:$I$100,4,0)+600),IF($D$32="","",VLOOKUP(登!$D$1,立女!$A$4:$I$100,4,0)+600))</f>
        <v/>
      </c>
      <c r="B32" s="155" t="s">
        <v>21</v>
      </c>
      <c r="C32" s="185" t="str">
        <f>IF(D32="","",登!$F$1)</f>
        <v/>
      </c>
      <c r="D32" s="63"/>
      <c r="E32" s="185">
        <v>15</v>
      </c>
      <c r="F32" s="158" t="str">
        <f>IF(D32="","",IF(COUNTIF($D$13:$D$20,"")&gt;0,"団体から入力",IF(COUNTIF($D$26:D32,"")&gt;0,"上から詰めて入力",IF(INT(VALUE(RIGHT(D32,3))/100)=$B$2,VLOOKUP(D32,登!$B$4:$I$103,7,0),"部員番号入力ミス"))))</f>
        <v/>
      </c>
      <c r="G32" s="159" t="str">
        <f>IF(D32="","",IF(INT(VALUE(RIGHT(D32,3))/100)=$B$2,IF(VLOOKUP(D32,登!$B$4:$I$103,2,0)=登!$B$1,1,IF(VLOOKUP(D32,登!$B$4:$I$103,2,0)=登!$B$1-1,2,IF(VLOOKUP(D32,登!$B$4:$I$103,2,0)=登!$B$1-2,3,"学年ミス"))),"番号ミス"))</f>
        <v/>
      </c>
      <c r="H32" s="154" t="str">
        <f t="shared" si="1"/>
        <v/>
      </c>
      <c r="I32" s="496"/>
      <c r="J32" s="497"/>
    </row>
    <row r="33" spans="1:12" ht="12.75" customHeight="1">
      <c r="A33" s="160" t="str">
        <f>IF($B$2=1,IF($D$32="","",VLOOKUP(登!$D$1,立男!$A$4:$I$100,4,0)+600),IF($D$32="","",VLOOKUP(登!$D$1,立女!$A$4:$I$100,4,0)+600))</f>
        <v/>
      </c>
      <c r="B33" s="161" t="s">
        <v>21</v>
      </c>
      <c r="C33" s="186" t="str">
        <f>IF(D33="","",登!$F$1)</f>
        <v/>
      </c>
      <c r="D33" s="64"/>
      <c r="E33" s="186">
        <v>16</v>
      </c>
      <c r="F33" s="164" t="str">
        <f>IF(D33="","",IF(COUNTIF($D$13:$D$20,"")&gt;0,"団体から入力",IF(COUNTIF($D$26:D33,"")&gt;0,"上から詰めて入力",IF(INT(VALUE(RIGHT(D33,3))/100)=$B$2,VLOOKUP(D33,登!$B$4:$I$103,7,0),"部員番号入力ミス"))))</f>
        <v/>
      </c>
      <c r="G33" s="165" t="str">
        <f>IF(D33="","",IF(INT(VALUE(RIGHT(D33,3))/100)=$B$2,IF(VLOOKUP(D33,登!$B$4:$I$103,2,0)=登!$B$1,1,IF(VLOOKUP(D33,登!$B$4:$I$103,2,0)=登!$B$1-1,2,IF(VLOOKUP(D33,登!$B$4:$I$103,2,0)=登!$B$1-2,3,"学年ミス"))),"番号ミス"))</f>
        <v/>
      </c>
      <c r="H33" s="160" t="str">
        <f t="shared" si="1"/>
        <v/>
      </c>
      <c r="I33" s="500"/>
      <c r="J33" s="501"/>
    </row>
    <row r="34" spans="1:12" ht="12.75" customHeight="1">
      <c r="A34" s="175" t="str">
        <f>IF($B$2=1,IF($D$32="","",VLOOKUP(登!$D$1,立男!$A$4:$I$100,4,0)+600),IF($D$32="","",VLOOKUP(登!$D$1,立女!$A$4:$I$100,4,0)+600))</f>
        <v/>
      </c>
      <c r="B34" s="176" t="s">
        <v>21</v>
      </c>
      <c r="C34" s="187" t="str">
        <f>IF(D34="","",登!$F$1)</f>
        <v/>
      </c>
      <c r="D34" s="66"/>
      <c r="E34" s="187">
        <v>17</v>
      </c>
      <c r="F34" s="188" t="str">
        <f>IF(D34="","",IF(COUNTIF($D$13:$D$20,"")&gt;0,"団体から入力",IF(COUNTIF($D$26:D34,"")&gt;0,"上から詰めて入力",IF(INT(VALUE(RIGHT(D34,3))/100)=$B$2,VLOOKUP(D34,登!$B$4:$I$103,7,0),"部員番号入力ミス"))))</f>
        <v/>
      </c>
      <c r="G34" s="181" t="str">
        <f>IF(D34="","",IF(INT(VALUE(RIGHT(D34,3))/100)=$B$2,IF(VLOOKUP(D34,登!$B$4:$I$103,2,0)=登!$B$1,1,IF(VLOOKUP(D34,登!$B$4:$I$103,2,0)=登!$B$1-1,2,IF(VLOOKUP(D34,登!$B$4:$I$103,2,0)=登!$B$1-2,3,"学年ミス"))),"番号ミス"))</f>
        <v/>
      </c>
      <c r="H34" s="175" t="str">
        <f t="shared" si="1"/>
        <v/>
      </c>
      <c r="I34" s="502"/>
      <c r="J34" s="503"/>
      <c r="L34" s="147"/>
    </row>
    <row r="35" spans="1:12" ht="12.75" customHeight="1">
      <c r="A35" s="154" t="str">
        <f>IF($B$2=1,IF($D$35="","",VLOOKUP(登!$D$1,立男!$A$4:$I$100,4,0)+700),IF($D$35="","",VLOOKUP(登!$D$1,立女!$A$4:$I$100,4,0)+700))</f>
        <v/>
      </c>
      <c r="B35" s="155" t="s">
        <v>21</v>
      </c>
      <c r="C35" s="185" t="str">
        <f>IF(D35="","",登!$F$1)</f>
        <v/>
      </c>
      <c r="D35" s="63"/>
      <c r="E35" s="185">
        <v>18</v>
      </c>
      <c r="F35" s="158" t="str">
        <f>IF(D35="","",IF(COUNTIF($D$13:$D$20,"")&gt;0,"団体から入力",IF(COUNTIF($D$26:D35,"")&gt;0,"上から詰めて入力",IF(INT(VALUE(RIGHT(D35,3))/100)=$B$2,VLOOKUP(D35,登!$B$4:$I$103,7,0),"部員番号入力ミス"))))</f>
        <v/>
      </c>
      <c r="G35" s="159" t="str">
        <f>IF(D35="","",IF(INT(VALUE(RIGHT(D35,3))/100)=$B$2,IF(VLOOKUP(D35,登!$B$4:$I$103,2,0)=登!$B$1,1,IF(VLOOKUP(D35,登!$B$4:$I$103,2,0)=登!$B$1-1,2,IF(VLOOKUP(D35,登!$B$4:$I$103,2,0)=登!$B$1-2,3,"学年ミス"))),"番号ミス"))</f>
        <v/>
      </c>
      <c r="H35" s="154" t="str">
        <f t="shared" si="1"/>
        <v/>
      </c>
      <c r="I35" s="496"/>
      <c r="J35" s="497"/>
      <c r="L35" s="147"/>
    </row>
    <row r="36" spans="1:12" ht="12.75" customHeight="1">
      <c r="A36" s="160" t="str">
        <f>IF($B$2=1,IF($D$35="","",VLOOKUP(登!$D$1,立男!$A$4:$I$100,4,0)+700),IF($D$35="","",VLOOKUP(登!$D$1,立女!$A$4:$I$100,4,0)+700))</f>
        <v/>
      </c>
      <c r="B36" s="161" t="s">
        <v>21</v>
      </c>
      <c r="C36" s="186" t="str">
        <f>IF(D36="","",登!$F$1)</f>
        <v/>
      </c>
      <c r="D36" s="64"/>
      <c r="E36" s="186">
        <v>19</v>
      </c>
      <c r="F36" s="164" t="str">
        <f>IF(D36="","",IF(COUNTIF($D$13:$D$20,"")&gt;0,"団体から入力",IF(COUNTIF($D$26:D36,"")&gt;0,"上から詰めて入力",IF(INT(VALUE(RIGHT(D36,3))/100)=$B$2,VLOOKUP(D36,登!$B$4:$I$103,7,0),"部員番号入力ミス"))))</f>
        <v/>
      </c>
      <c r="G36" s="165" t="str">
        <f>IF(D36="","",IF(INT(VALUE(RIGHT(D36,3))/100)=$B$2,IF(VLOOKUP(D36,登!$B$4:$I$103,2,0)=登!$B$1,1,IF(VLOOKUP(D36,登!$B$4:$I$103,2,0)=登!$B$1-1,2,IF(VLOOKUP(D36,登!$B$4:$I$103,2,0)=登!$B$1-2,3,"学年ミス"))),"番号ミス"))</f>
        <v/>
      </c>
      <c r="H36" s="160" t="str">
        <f t="shared" si="1"/>
        <v/>
      </c>
      <c r="I36" s="500"/>
      <c r="J36" s="501"/>
      <c r="L36" s="147"/>
    </row>
    <row r="37" spans="1:12" ht="12.75" customHeight="1">
      <c r="A37" s="175" t="str">
        <f>IF($B$2=1,IF($D$35="","",VLOOKUP(登!$D$1,立男!$A$4:$I$100,4,0)+700),IF($D$35="","",VLOOKUP(登!$D$1,立女!$A$4:$I$100,4,0)+700))</f>
        <v/>
      </c>
      <c r="B37" s="176" t="s">
        <v>21</v>
      </c>
      <c r="C37" s="187" t="str">
        <f>IF(D37="","",登!$F$1)</f>
        <v/>
      </c>
      <c r="D37" s="66"/>
      <c r="E37" s="187">
        <v>20</v>
      </c>
      <c r="F37" s="188" t="str">
        <f>IF(D37="","",IF(COUNTIF($D$13:$D$20,"")&gt;0,"団体から入力",IF(COUNTIF($D$26:D37,"")&gt;0,"上から詰めて入力",IF(INT(VALUE(RIGHT(D37,3))/100)=$B$2,VLOOKUP(D37,登!$B$4:$I$103,7,0),"部員番号入力ミス"))))</f>
        <v/>
      </c>
      <c r="G37" s="181" t="str">
        <f>IF(D37="","",IF(INT(VALUE(RIGHT(D37,3))/100)=$B$2,IF(VLOOKUP(D37,登!$B$4:$I$103,2,0)=登!$B$1,1,IF(VLOOKUP(D37,登!$B$4:$I$103,2,0)=登!$B$1-1,2,IF(VLOOKUP(D37,登!$B$4:$I$103,2,0)=登!$B$1-2,3,"学年ミス"))),"番号ミス"))</f>
        <v/>
      </c>
      <c r="H37" s="175" t="str">
        <f t="shared" si="1"/>
        <v/>
      </c>
      <c r="I37" s="502"/>
      <c r="J37" s="503"/>
      <c r="L37" s="147"/>
    </row>
    <row r="38" spans="1:12" ht="12.75" customHeight="1">
      <c r="A38" s="154" t="str">
        <f>IF($B$2=1,IF($D$38="","",VLOOKUP(登!$D$1,立男!$A$4:$I$100,4,0)+800),IF($D$38="","",VLOOKUP(登!$D$1,立女!$A$4:$I$100,4,0)+800))</f>
        <v/>
      </c>
      <c r="B38" s="155" t="s">
        <v>21</v>
      </c>
      <c r="C38" s="185" t="str">
        <f>IF(D38="","",登!$F$1)</f>
        <v/>
      </c>
      <c r="D38" s="63"/>
      <c r="E38" s="185">
        <v>21</v>
      </c>
      <c r="F38" s="158" t="str">
        <f>IF(D38="","",IF(COUNTIF($D$13:$D$20,"")&gt;0,"団体から入力",IF(COUNTIF($D$26:D38,"")&gt;0,"上から詰めて入力",IF(INT(VALUE(RIGHT(D38,3))/100)=$B$2,VLOOKUP(D38,登!$B$4:$I$103,7,0),"部員番号入力ミス"))))</f>
        <v/>
      </c>
      <c r="G38" s="159" t="str">
        <f>IF(D38="","",IF(INT(VALUE(RIGHT(D38,3))/100)=$B$2,IF(VLOOKUP(D38,登!$B$4:$I$103,2,0)=登!$B$1,1,IF(VLOOKUP(D38,登!$B$4:$I$103,2,0)=登!$B$1-1,2,IF(VLOOKUP(D38,登!$B$4:$I$103,2,0)=登!$B$1-2,3,"学年ミス"))),"番号ミス"))</f>
        <v/>
      </c>
      <c r="H38" s="154" t="str">
        <f t="shared" si="1"/>
        <v/>
      </c>
      <c r="I38" s="496"/>
      <c r="J38" s="497"/>
      <c r="L38" s="147"/>
    </row>
    <row r="39" spans="1:12" ht="12.75" customHeight="1">
      <c r="A39" s="160" t="str">
        <f>IF($B$2=1,IF($D$38="","",VLOOKUP(登!$D$1,立男!$A$4:$I$100,4,0)+800),IF($D$38="","",VLOOKUP(登!$D$1,立女!$A$4:$I$100,4,0)+800))</f>
        <v/>
      </c>
      <c r="B39" s="161" t="s">
        <v>21</v>
      </c>
      <c r="C39" s="186" t="str">
        <f>IF(D39="","",登!$F$1)</f>
        <v/>
      </c>
      <c r="D39" s="64"/>
      <c r="E39" s="186">
        <v>22</v>
      </c>
      <c r="F39" s="164" t="str">
        <f>IF(D39="","",IF(COUNTIF($D$13:$D$20,"")&gt;0,"団体から入力",IF(COUNTIF($D$26:D39,"")&gt;0,"上から詰めて入力",IF(INT(VALUE(RIGHT(D39,3))/100)=$B$2,VLOOKUP(D39,登!$B$4:$I$103,7,0),"部員番号入力ミス"))))</f>
        <v/>
      </c>
      <c r="G39" s="165" t="str">
        <f>IF(D39="","",IF(INT(VALUE(RIGHT(D39,3))/100)=$B$2,IF(VLOOKUP(D39,登!$B$4:$I$103,2,0)=登!$B$1,1,IF(VLOOKUP(D39,登!$B$4:$I$103,2,0)=登!$B$1-1,2,IF(VLOOKUP(D39,登!$B$4:$I$103,2,0)=登!$B$1-2,3,"学年ミス"))),"番号ミス"))</f>
        <v/>
      </c>
      <c r="H39" s="160" t="str">
        <f t="shared" si="1"/>
        <v/>
      </c>
      <c r="I39" s="500"/>
      <c r="J39" s="501"/>
    </row>
    <row r="40" spans="1:12" ht="12.75" customHeight="1">
      <c r="A40" s="175" t="str">
        <f>IF($B$2=1,IF($D$38="","",VLOOKUP(登!$D$1,立男!$A$4:$I$100,4,0)+800),IF($D$38="","",VLOOKUP(登!$D$1,立女!$A$4:$I$100,4,0)+800))</f>
        <v/>
      </c>
      <c r="B40" s="176" t="s">
        <v>21</v>
      </c>
      <c r="C40" s="187" t="str">
        <f>IF(D40="","",登!$F$1)</f>
        <v/>
      </c>
      <c r="D40" s="66"/>
      <c r="E40" s="187">
        <v>23</v>
      </c>
      <c r="F40" s="188" t="str">
        <f>IF(D40="","",IF(COUNTIF($D$13:$D$20,"")&gt;0,"団体から入力",IF(COUNTIF($D$26:D40,"")&gt;0,"上から詰めて入力",IF(INT(VALUE(RIGHT(D40,3))/100)=$B$2,VLOOKUP(D40,登!$B$4:$I$103,7,0),"部員番号入力ミス"))))</f>
        <v/>
      </c>
      <c r="G40" s="181" t="str">
        <f>IF(D40="","",IF(INT(VALUE(RIGHT(D40,3))/100)=$B$2,IF(VLOOKUP(D40,登!$B$4:$I$103,2,0)=登!$B$1,1,IF(VLOOKUP(D40,登!$B$4:$I$103,2,0)=登!$B$1-1,2,IF(VLOOKUP(D40,登!$B$4:$I$103,2,0)=登!$B$1-2,3,"学年ミス"))),"番号ミス"))</f>
        <v/>
      </c>
      <c r="H40" s="175" t="str">
        <f t="shared" si="1"/>
        <v/>
      </c>
      <c r="I40" s="502"/>
      <c r="J40" s="503"/>
    </row>
    <row r="41" spans="1:12" ht="12.75" customHeight="1">
      <c r="A41" s="154" t="str">
        <f>IF($B$2=1,IF($D$41="","",VLOOKUP(登!$D$1,立男!$A$4:$I$100,4,0)+900),IF($D$41="","",VLOOKUP(登!$D$1,立女!$A$4:$I$100,4,0)+900))</f>
        <v/>
      </c>
      <c r="B41" s="155" t="s">
        <v>21</v>
      </c>
      <c r="C41" s="185" t="str">
        <f>IF(D41="","",登!$F$1)</f>
        <v/>
      </c>
      <c r="D41" s="63"/>
      <c r="E41" s="185">
        <v>24</v>
      </c>
      <c r="F41" s="158" t="str">
        <f>IF(D41="","",IF(COUNTIF($D$13:$D$20,"")&gt;0,"団体から入力",IF(COUNTIF($D$26:D41,"")&gt;0,"上から詰めて入力",IF(INT(VALUE(RIGHT(D41,3))/100)=$B$2,VLOOKUP(D41,登!$B$4:$I$103,7,0),"部員番号入力ミス"))))</f>
        <v/>
      </c>
      <c r="G41" s="159" t="str">
        <f>IF(D41="","",IF(INT(VALUE(RIGHT(D41,3))/100)=$B$2,IF(VLOOKUP(D41,登!$B$4:$I$103,2,0)=登!$B$1,1,IF(VLOOKUP(D41,登!$B$4:$I$103,2,0)=登!$B$1-1,2,IF(VLOOKUP(D41,登!$B$4:$I$103,2,0)=登!$B$1-2,3,"学年ミス"))),"番号ミス"))</f>
        <v/>
      </c>
      <c r="H41" s="154" t="str">
        <f t="shared" si="1"/>
        <v/>
      </c>
      <c r="I41" s="496"/>
      <c r="J41" s="497"/>
    </row>
    <row r="42" spans="1:12" ht="12.75" customHeight="1">
      <c r="A42" s="160" t="str">
        <f>IF($B$2=1,IF($D$41="","",VLOOKUP(登!$D$1,立男!$A$4:$I$100,4,0)+900),IF($D$41="","",VLOOKUP(登!$D$1,立女!$A$4:$I$100,4,0)+900))</f>
        <v/>
      </c>
      <c r="B42" s="161" t="s">
        <v>21</v>
      </c>
      <c r="C42" s="186" t="str">
        <f>IF(D42="","",登!$F$1)</f>
        <v/>
      </c>
      <c r="D42" s="64"/>
      <c r="E42" s="186">
        <v>25</v>
      </c>
      <c r="F42" s="164" t="str">
        <f>IF(D42="","",IF(COUNTIF($D$13:$D$20,"")&gt;0,"団体から入力",IF(COUNTIF($D$26:D42,"")&gt;0,"上から詰めて入力",IF(INT(VALUE(RIGHT(D42,3))/100)=$B$2,VLOOKUP(D42,登!$B$4:$I$103,7,0),"部員番号入力ミス"))))</f>
        <v/>
      </c>
      <c r="G42" s="165" t="str">
        <f>IF(D42="","",IF(INT(VALUE(RIGHT(D42,3))/100)=$B$2,IF(VLOOKUP(D42,登!$B$4:$I$103,2,0)=登!$B$1,1,IF(VLOOKUP(D42,登!$B$4:$I$103,2,0)=登!$B$1-1,2,IF(VLOOKUP(D42,登!$B$4:$I$103,2,0)=登!$B$1-2,3,"学年ミス"))),"番号ミス"))</f>
        <v/>
      </c>
      <c r="H42" s="160" t="str">
        <f t="shared" si="1"/>
        <v/>
      </c>
      <c r="I42" s="500"/>
      <c r="J42" s="501"/>
    </row>
    <row r="43" spans="1:12" ht="12.75" customHeight="1">
      <c r="A43" s="175" t="str">
        <f>IF($B$2=1,IF($D$41="","",VLOOKUP(登!$D$1,立男!$A$4:$I$100,4,0)+900),IF($D$41="","",VLOOKUP(登!$D$1,立女!$A$4:$I$100,4,0)+900))</f>
        <v/>
      </c>
      <c r="B43" s="176" t="s">
        <v>21</v>
      </c>
      <c r="C43" s="187" t="str">
        <f>IF(D43="","",登!$F$1)</f>
        <v/>
      </c>
      <c r="D43" s="66"/>
      <c r="E43" s="187">
        <v>26</v>
      </c>
      <c r="F43" s="188" t="str">
        <f>IF(D43="","",IF(COUNTIF($D$13:$D$20,"")&gt;0,"団体から入力",IF(COUNTIF($D$26:D43,"")&gt;0,"上から詰めて入力",IF(INT(VALUE(RIGHT(D43,3))/100)=$B$2,VLOOKUP(D43,登!$B$4:$I$103,7,0),"部員番号入力ミス"))))</f>
        <v/>
      </c>
      <c r="G43" s="181" t="str">
        <f>IF(D43="","",IF(INT(VALUE(RIGHT(D43,3))/100)=$B$2,IF(VLOOKUP(D43,登!$B$4:$I$103,2,0)=登!$B$1,1,IF(VLOOKUP(D43,登!$B$4:$I$103,2,0)=登!$B$1-1,2,IF(VLOOKUP(D43,登!$B$4:$I$103,2,0)=登!$B$1-2,3,"学年ミス"))),"番号ミス"))</f>
        <v/>
      </c>
      <c r="H43" s="175" t="str">
        <f t="shared" si="1"/>
        <v/>
      </c>
      <c r="I43" s="502"/>
      <c r="J43" s="503"/>
    </row>
    <row r="44" spans="1:12" ht="12.75" customHeight="1">
      <c r="A44" s="154" t="str">
        <f>IF($B$2=1,IF($D$44="","",VLOOKUP(登!$D$1,立男!$A$4:$I$100,4,0)+1000),IF($D$44="","",VLOOKUP(登!$D$1,立女!$A$4:$I$100,4,0)+1000))</f>
        <v/>
      </c>
      <c r="B44" s="155" t="s">
        <v>21</v>
      </c>
      <c r="C44" s="185" t="str">
        <f>IF(D44="","",登!$F$1)</f>
        <v/>
      </c>
      <c r="D44" s="63"/>
      <c r="E44" s="185">
        <v>27</v>
      </c>
      <c r="F44" s="158" t="str">
        <f>IF(D44="","",IF(COUNTIF($D$13:$D$20,"")&gt;0,"団体から入力",IF(COUNTIF($D$26:D44,"")&gt;0,"上から詰めて入力",IF(INT(VALUE(RIGHT(D44,3))/100)=$B$2,VLOOKUP(D44,登!$B$4:$I$103,7,0),"部員番号入力ミス"))))</f>
        <v/>
      </c>
      <c r="G44" s="159" t="str">
        <f>IF(D44="","",IF(INT(VALUE(RIGHT(D44,3))/100)=$B$2,IF(VLOOKUP(D44,登!$B$4:$I$103,2,0)=登!$B$1,1,IF(VLOOKUP(D44,登!$B$4:$I$103,2,0)=登!$B$1-1,2,IF(VLOOKUP(D44,登!$B$4:$I$103,2,0)=登!$B$1-2,3,"学年ミス"))),"番号ミス"))</f>
        <v/>
      </c>
      <c r="H44" s="154" t="str">
        <f t="shared" si="1"/>
        <v/>
      </c>
      <c r="I44" s="496"/>
      <c r="J44" s="497"/>
    </row>
    <row r="45" spans="1:12" ht="12.75" customHeight="1">
      <c r="A45" s="160" t="str">
        <f>IF($B$2=1,IF($D$44="","",VLOOKUP(登!$D$1,立男!$A$4:$I$100,4,0)+1000),IF($D$44="","",VLOOKUP(登!$D$1,立女!$A$4:$I$100,4,0)+1000))</f>
        <v/>
      </c>
      <c r="B45" s="161" t="s">
        <v>21</v>
      </c>
      <c r="C45" s="186" t="str">
        <f>IF(D45="","",登!$F$1)</f>
        <v/>
      </c>
      <c r="D45" s="64"/>
      <c r="E45" s="186">
        <v>28</v>
      </c>
      <c r="F45" s="164" t="str">
        <f>IF(D45="","",IF(COUNTIF($D$13:$D$20,"")&gt;0,"団体から入力",IF(COUNTIF($D$26:D45,"")&gt;0,"上から詰めて入力",IF(INT(VALUE(RIGHT(D45,3))/100)=$B$2,VLOOKUP(D45,登!$B$4:$I$103,7,0),"部員番号入力ミス"))))</f>
        <v/>
      </c>
      <c r="G45" s="165" t="str">
        <f>IF(D45="","",IF(INT(VALUE(RIGHT(D45,3))/100)=$B$2,IF(VLOOKUP(D45,登!$B$4:$I$103,2,0)=登!$B$1,1,IF(VLOOKUP(D45,登!$B$4:$I$103,2,0)=登!$B$1-1,2,IF(VLOOKUP(D45,登!$B$4:$I$103,2,0)=登!$B$1-2,3,"学年ミス"))),"番号ミス"))</f>
        <v/>
      </c>
      <c r="H45" s="160" t="str">
        <f t="shared" si="1"/>
        <v/>
      </c>
      <c r="I45" s="500"/>
      <c r="J45" s="501"/>
    </row>
    <row r="46" spans="1:12" ht="12.75" customHeight="1">
      <c r="A46" s="175" t="str">
        <f>IF($B$2=1,IF($D$44="","",VLOOKUP(登!$D$1,立男!$A$4:$I$100,4,0)+1000),IF($D$44="","",VLOOKUP(登!$D$1,立女!$A$4:$I$100,4,0)+1000))</f>
        <v/>
      </c>
      <c r="B46" s="176" t="s">
        <v>21</v>
      </c>
      <c r="C46" s="187" t="str">
        <f>IF(D46="","",登!$F$1)</f>
        <v/>
      </c>
      <c r="D46" s="66"/>
      <c r="E46" s="187">
        <v>29</v>
      </c>
      <c r="F46" s="188" t="str">
        <f>IF(D46="","",IF(COUNTIF($D$13:$D$20,"")&gt;0,"団体から入力",IF(COUNTIF($D$26:D46,"")&gt;0,"上から詰めて入力",IF(INT(VALUE(RIGHT(D46,3))/100)=$B$2,VLOOKUP(D46,登!$B$4:$I$103,7,0),"部員番号入力ミス"))))</f>
        <v/>
      </c>
      <c r="G46" s="181" t="str">
        <f>IF(D46="","",IF(INT(VALUE(RIGHT(D46,3))/100)=$B$2,IF(VLOOKUP(D46,登!$B$4:$I$103,2,0)=登!$B$1,1,IF(VLOOKUP(D46,登!$B$4:$I$103,2,0)=登!$B$1-1,2,IF(VLOOKUP(D46,登!$B$4:$I$103,2,0)=登!$B$1-2,3,"学年ミス"))),"番号ミス"))</f>
        <v/>
      </c>
      <c r="H46" s="175" t="str">
        <f t="shared" si="1"/>
        <v/>
      </c>
      <c r="I46" s="502"/>
      <c r="J46" s="503"/>
    </row>
    <row r="47" spans="1:12" ht="12.75" customHeight="1">
      <c r="A47" s="154" t="str">
        <f>IF($B$2=1,IF($D$47="","",VLOOKUP(登!$D$1,立男!$A$4:$I$100,4,0)+1100),IF($D$47="","",VLOOKUP(登!$D$1,立女!$A$4:$I$100,4,0)+1100))</f>
        <v/>
      </c>
      <c r="B47" s="155" t="s">
        <v>21</v>
      </c>
      <c r="C47" s="185" t="str">
        <f>IF(D47="","",登!$F$1)</f>
        <v/>
      </c>
      <c r="D47" s="63"/>
      <c r="E47" s="185">
        <v>30</v>
      </c>
      <c r="F47" s="158" t="str">
        <f>IF(D47="","",IF(COUNTIF($D$13:$D$20,"")&gt;0,"団体から入力",IF(COUNTIF($D$26:D47,"")&gt;0,"上から詰めて入力",IF(INT(VALUE(RIGHT(D47,3))/100)=$B$2,VLOOKUP(D47,登!$B$4:$I$103,7,0),"部員番号入力ミス"))))</f>
        <v/>
      </c>
      <c r="G47" s="159" t="str">
        <f>IF(D47="","",IF(INT(VALUE(RIGHT(D47,3))/100)=$B$2,IF(VLOOKUP(D47,登!$B$4:$I$103,2,0)=登!$B$1,1,IF(VLOOKUP(D47,登!$B$4:$I$103,2,0)=登!$B$1-1,2,IF(VLOOKUP(D47,登!$B$4:$I$103,2,0)=登!$B$1-2,3,"学年ミス"))),"番号ミス"))</f>
        <v/>
      </c>
      <c r="H47" s="154" t="str">
        <f t="shared" si="1"/>
        <v/>
      </c>
      <c r="I47" s="496"/>
      <c r="J47" s="497"/>
    </row>
    <row r="48" spans="1:12" ht="12.75" customHeight="1">
      <c r="A48" s="160" t="str">
        <f>IF($B$2=1,IF($D$47="","",VLOOKUP(登!$D$1,立男!$A$4:$I$100,4,0)+1100),IF($D$47="","",VLOOKUP(登!$D$1,立女!$A$4:$I$100,4,0)+1100))</f>
        <v/>
      </c>
      <c r="B48" s="161" t="s">
        <v>21</v>
      </c>
      <c r="C48" s="186" t="str">
        <f>IF(D48="","",登!$F$1)</f>
        <v/>
      </c>
      <c r="D48" s="64"/>
      <c r="E48" s="186">
        <v>31</v>
      </c>
      <c r="F48" s="164" t="str">
        <f>IF(D48="","",IF(COUNTIF($D$13:$D$20,"")&gt;0,"団体から入力",IF(COUNTIF($D$26:D48,"")&gt;0,"上から詰めて入力",IF(INT(VALUE(RIGHT(D48,3))/100)=$B$2,VLOOKUP(D48,登!$B$4:$I$103,7,0),"部員番号入力ミス"))))</f>
        <v/>
      </c>
      <c r="G48" s="165" t="str">
        <f>IF(D48="","",IF(INT(VALUE(RIGHT(D48,3))/100)=$B$2,IF(VLOOKUP(D48,登!$B$4:$I$103,2,0)=登!$B$1,1,IF(VLOOKUP(D48,登!$B$4:$I$103,2,0)=登!$B$1-1,2,IF(VLOOKUP(D48,登!$B$4:$I$103,2,0)=登!$B$1-2,3,"学年ミス"))),"番号ミス"))</f>
        <v/>
      </c>
      <c r="H48" s="160" t="str">
        <f t="shared" si="1"/>
        <v/>
      </c>
      <c r="I48" s="500"/>
      <c r="J48" s="501"/>
    </row>
    <row r="49" spans="1:11" ht="12.75" customHeight="1">
      <c r="A49" s="175" t="str">
        <f>IF($B$2=1,IF($D$47="","",VLOOKUP(登!$D$1,立男!$A$4:$I$100,4,0)+1100),IF($D$47="","",VLOOKUP(登!$D$1,立女!$A$4:$I$100,4,0)+1100))</f>
        <v/>
      </c>
      <c r="B49" s="176" t="s">
        <v>21</v>
      </c>
      <c r="C49" s="187" t="str">
        <f>IF(D49="","",登!$F$1)</f>
        <v/>
      </c>
      <c r="D49" s="66"/>
      <c r="E49" s="187">
        <v>32</v>
      </c>
      <c r="F49" s="188" t="str">
        <f>IF(D49="","",IF(COUNTIF($D$13:$D$20,"")&gt;0,"団体から入力",IF(COUNTIF($D$26:D49,"")&gt;0,"上から詰めて入力",IF(INT(VALUE(RIGHT(D49,3))/100)=$B$2,VLOOKUP(D49,登!$B$4:$I$103,7,0),"部員番号入力ミス"))))</f>
        <v/>
      </c>
      <c r="G49" s="181" t="str">
        <f>IF(D49="","",IF(INT(VALUE(RIGHT(D49,3))/100)=$B$2,IF(VLOOKUP(D49,登!$B$4:$I$103,2,0)=登!$B$1,1,IF(VLOOKUP(D49,登!$B$4:$I$103,2,0)=登!$B$1-1,2,IF(VLOOKUP(D49,登!$B$4:$I$103,2,0)=登!$B$1-2,3,"学年ミス"))),"番号ミス"))</f>
        <v/>
      </c>
      <c r="H49" s="175" t="str">
        <f t="shared" si="1"/>
        <v/>
      </c>
      <c r="I49" s="502"/>
      <c r="J49" s="503"/>
    </row>
    <row r="50" spans="1:11" ht="12.75" customHeight="1">
      <c r="A50" s="154" t="str">
        <f>IF($B$2=1,IF($D$50="","",VLOOKUP(登!$D$1,立男!$A$4:$I$100,4,0)+1200),IF($D$50="","",VLOOKUP(登!$D$1,立女!$A$4:$I$100,4,0)+1200))</f>
        <v/>
      </c>
      <c r="B50" s="155" t="s">
        <v>21</v>
      </c>
      <c r="C50" s="185" t="str">
        <f>IF(D50="","",登!$F$1)</f>
        <v/>
      </c>
      <c r="D50" s="63"/>
      <c r="E50" s="185">
        <v>33</v>
      </c>
      <c r="F50" s="158" t="str">
        <f>IF(D50="","",IF(COUNTIF($D$13:$D$20,"")&gt;0,"団体から入力",IF(COUNTIF($D$26:D50,"")&gt;0,"上から詰めて入力",IF(INT(VALUE(RIGHT(D50,3))/100)=$B$2,VLOOKUP(D50,登!$B$4:$I$103,7,0),"部員番号入力ミス"))))</f>
        <v/>
      </c>
      <c r="G50" s="159" t="str">
        <f>IF(D50="","",IF(INT(VALUE(RIGHT(D50,3))/100)=$B$2,IF(VLOOKUP(D50,登!$B$4:$I$103,2,0)=登!$B$1,1,IF(VLOOKUP(D50,登!$B$4:$I$103,2,0)=登!$B$1-1,2,IF(VLOOKUP(D50,登!$B$4:$I$103,2,0)=登!$B$1-2,3,"学年ミス"))),"番号ミス"))</f>
        <v/>
      </c>
      <c r="H50" s="154" t="str">
        <f t="shared" si="1"/>
        <v/>
      </c>
      <c r="I50" s="496"/>
      <c r="J50" s="497"/>
    </row>
    <row r="51" spans="1:11" ht="12.75" customHeight="1">
      <c r="A51" s="160" t="str">
        <f>IF($B$2=1,IF($D$50="","",VLOOKUP(登!$D$1,立男!$A$4:$I$100,4,0)+1200),IF($D$50="","",VLOOKUP(登!$D$1,立女!$A$4:$I$100,4,0)+1200))</f>
        <v/>
      </c>
      <c r="B51" s="161" t="s">
        <v>21</v>
      </c>
      <c r="C51" s="186" t="str">
        <f>IF(D51="","",登!$F$1)</f>
        <v/>
      </c>
      <c r="D51" s="64"/>
      <c r="E51" s="186">
        <v>34</v>
      </c>
      <c r="F51" s="164" t="str">
        <f>IF(D51="","",IF(COUNTIF($D$13:$D$20,"")&gt;0,"団体から入力",IF(COUNTIF($D$26:D51,"")&gt;0,"上から詰めて入力",IF(INT(VALUE(RIGHT(D51,3))/100)=$B$2,VLOOKUP(D51,登!$B$4:$I$103,7,0),"部員番号入力ミス"))))</f>
        <v/>
      </c>
      <c r="G51" s="165" t="str">
        <f>IF(D51="","",IF(INT(VALUE(RIGHT(D51,3))/100)=$B$2,IF(VLOOKUP(D51,登!$B$4:$I$103,2,0)=登!$B$1,1,IF(VLOOKUP(D51,登!$B$4:$I$103,2,0)=登!$B$1-1,2,IF(VLOOKUP(D51,登!$B$4:$I$103,2,0)=登!$B$1-2,3,"学年ミス"))),"番号ミス"))</f>
        <v/>
      </c>
      <c r="H51" s="160" t="str">
        <f t="shared" si="1"/>
        <v/>
      </c>
      <c r="I51" s="500"/>
      <c r="J51" s="501"/>
    </row>
    <row r="52" spans="1:11" ht="12.75" customHeight="1">
      <c r="A52" s="175" t="str">
        <f>IF($B$2=1,IF($D$50="","",VLOOKUP(登!$D$1,立男!$A$4:$I$100,4,0)+1200),IF($D$50="","",VLOOKUP(登!$D$1,立女!$A$4:$I$100,4,0)+1200))</f>
        <v/>
      </c>
      <c r="B52" s="176" t="s">
        <v>21</v>
      </c>
      <c r="C52" s="187" t="str">
        <f>IF(D52="","",登!$F$1)</f>
        <v/>
      </c>
      <c r="D52" s="66"/>
      <c r="E52" s="187">
        <v>35</v>
      </c>
      <c r="F52" s="188" t="str">
        <f>IF(D52="","",IF(COUNTIF($D$13:$D$20,"")&gt;0,"団体から入力",IF(COUNTIF($D$26:D52,"")&gt;0,"上から詰めて入力",IF(INT(VALUE(RIGHT(D52,3))/100)=$B$2,VLOOKUP(D52,登!$B$4:$I$103,7,0),"部員番号入力ミス"))))</f>
        <v/>
      </c>
      <c r="G52" s="181" t="str">
        <f>IF(D52="","",IF(INT(VALUE(RIGHT(D52,3))/100)=$B$2,IF(VLOOKUP(D52,登!$B$4:$I$103,2,0)=登!$B$1,1,IF(VLOOKUP(D52,登!$B$4:$I$103,2,0)=登!$B$1-1,2,IF(VLOOKUP(D52,登!$B$4:$I$103,2,0)=登!$B$1-2,3,"学年ミス"))),"番号ミス"))</f>
        <v/>
      </c>
      <c r="H52" s="175" t="str">
        <f t="shared" si="1"/>
        <v/>
      </c>
      <c r="I52" s="502"/>
      <c r="J52" s="503"/>
    </row>
    <row r="53" spans="1:11" ht="12.75" customHeight="1">
      <c r="A53" s="154" t="str">
        <f>IF($B$2=1,IF($D$53="","",VLOOKUP(登!$D$1,立男!$A$4:$I$100,4,0)+1300),IF($D$53="","",VLOOKUP(登!$D$1,立女!$A$4:$I$100,4,0)+1300))</f>
        <v/>
      </c>
      <c r="B53" s="155" t="s">
        <v>21</v>
      </c>
      <c r="C53" s="185" t="str">
        <f>IF(D53="","",登!$F$1)</f>
        <v/>
      </c>
      <c r="D53" s="63"/>
      <c r="E53" s="185">
        <v>36</v>
      </c>
      <c r="F53" s="158" t="str">
        <f>IF(D53="","",IF(COUNTIF($D$13:$D$20,"")&gt;0,"団体から入力",IF(COUNTIF($D$26:D53,"")&gt;0,"上から詰めて入力",IF(INT(VALUE(RIGHT(D53,3))/100)=$B$2,VLOOKUP(D53,登!$B$4:$I$103,7,0),"部員番号入力ミス"))))</f>
        <v/>
      </c>
      <c r="G53" s="159" t="str">
        <f>IF(D53="","",IF(INT(VALUE(RIGHT(D53,3))/100)=$B$2,IF(VLOOKUP(D53,登!$B$4:$I$103,2,0)=登!$B$1,1,IF(VLOOKUP(D53,登!$B$4:$I$103,2,0)=登!$B$1-1,2,IF(VLOOKUP(D53,登!$B$4:$I$103,2,0)=登!$B$1-2,3,"学年ミス"))),"番号ミス"))</f>
        <v/>
      </c>
      <c r="H53" s="154" t="str">
        <f t="shared" si="1"/>
        <v/>
      </c>
      <c r="I53" s="496"/>
      <c r="J53" s="497"/>
    </row>
    <row r="54" spans="1:11" ht="12.75" customHeight="1">
      <c r="A54" s="160" t="str">
        <f>IF($B$2=1,IF($D$53="","",VLOOKUP(登!$D$1,立男!$A$4:$I$100,4,0)+1300),IF($D$53="","",VLOOKUP(登!$D$1,立女!$A$4:$I$100,4,0)+1300))</f>
        <v/>
      </c>
      <c r="B54" s="161" t="s">
        <v>21</v>
      </c>
      <c r="C54" s="186" t="str">
        <f>IF(D54="","",登!$F$1)</f>
        <v/>
      </c>
      <c r="D54" s="64"/>
      <c r="E54" s="186">
        <v>37</v>
      </c>
      <c r="F54" s="164" t="str">
        <f>IF(D54="","",IF(COUNTIF($D$13:$D$20,"")&gt;0,"団体から入力",IF(COUNTIF($D$26:D54,"")&gt;0,"上から詰めて入力",IF(INT(VALUE(RIGHT(D54,3))/100)=$B$2,VLOOKUP(D54,登!$B$4:$I$103,7,0),"部員番号入力ミス"))))</f>
        <v/>
      </c>
      <c r="G54" s="165" t="str">
        <f>IF(D54="","",IF(INT(VALUE(RIGHT(D54,3))/100)=$B$2,IF(VLOOKUP(D54,登!$B$4:$I$103,2,0)=登!$B$1,1,IF(VLOOKUP(D54,登!$B$4:$I$103,2,0)=登!$B$1-1,2,IF(VLOOKUP(D54,登!$B$4:$I$103,2,0)=登!$B$1-2,3,"学年ミス"))),"番号ミス"))</f>
        <v/>
      </c>
      <c r="H54" s="160" t="str">
        <f t="shared" si="1"/>
        <v/>
      </c>
      <c r="I54" s="500"/>
      <c r="J54" s="501"/>
    </row>
    <row r="55" spans="1:11" ht="12.75" customHeight="1">
      <c r="A55" s="175" t="str">
        <f>IF($B$2=1,IF($D$53="","",VLOOKUP(登!$D$1,立男!$A$4:$I$100,4,0)+1300),IF($D$53="","",VLOOKUP(登!$D$1,立女!$A$4:$I$100,4,0)+1300))</f>
        <v/>
      </c>
      <c r="B55" s="176" t="s">
        <v>21</v>
      </c>
      <c r="C55" s="187" t="str">
        <f>IF(D55="","",登!$F$1)</f>
        <v/>
      </c>
      <c r="D55" s="66"/>
      <c r="E55" s="187">
        <v>38</v>
      </c>
      <c r="F55" s="188" t="str">
        <f>IF(D55="","",IF(COUNTIF($D$13:$D$20,"")&gt;0,"団体から入力",IF(COUNTIF($D$26:D55,"")&gt;0,"上から詰めて入力",IF(INT(VALUE(RIGHT(D55,3))/100)=$B$2,VLOOKUP(D55,登!$B$4:$I$103,7,0),"部員番号入力ミス"))))</f>
        <v/>
      </c>
      <c r="G55" s="181" t="str">
        <f>IF(D55="","",IF(INT(VALUE(RIGHT(D55,3))/100)=$B$2,IF(VLOOKUP(D55,登!$B$4:$I$103,2,0)=登!$B$1,1,IF(VLOOKUP(D55,登!$B$4:$I$103,2,0)=登!$B$1-1,2,IF(VLOOKUP(D55,登!$B$4:$I$103,2,0)=登!$B$1-2,3,"学年ミス"))),"番号ミス"))</f>
        <v/>
      </c>
      <c r="H55" s="175" t="str">
        <f t="shared" si="1"/>
        <v/>
      </c>
      <c r="I55" s="502"/>
      <c r="J55" s="503"/>
    </row>
    <row r="56" spans="1:11" ht="12.75" customHeight="1"/>
    <row r="57" spans="1:11" s="75" customFormat="1" ht="12.75" customHeight="1">
      <c r="A57" s="410" t="s">
        <v>406</v>
      </c>
      <c r="B57" s="410"/>
      <c r="C57" s="410"/>
      <c r="D57" s="410"/>
      <c r="E57" s="407">
        <f>D7</f>
        <v>43734</v>
      </c>
      <c r="F57" s="408"/>
    </row>
    <row r="58" spans="1:11" s="75" customFormat="1" ht="12.75" customHeight="1">
      <c r="A58" s="344"/>
      <c r="B58" s="344"/>
      <c r="C58" s="344"/>
      <c r="D58" s="344"/>
      <c r="E58" s="189"/>
      <c r="F58" s="189"/>
    </row>
    <row r="59" spans="1:11" s="75" customFormat="1" ht="12.75" customHeight="1">
      <c r="A59" s="344"/>
      <c r="B59" s="344"/>
      <c r="C59" s="344"/>
      <c r="D59" s="344"/>
    </row>
    <row r="60" spans="1:11" s="75" customFormat="1" ht="12.75" customHeight="1">
      <c r="A60" s="189" t="s">
        <v>507</v>
      </c>
      <c r="B60" s="409" t="str">
        <f>IF(登!$D$1="",""," "&amp;VLOOKUP(登!$D$1,名!$G$2:$J$54,3,0))</f>
        <v/>
      </c>
      <c r="C60" s="409"/>
      <c r="D60" s="409"/>
      <c r="E60" s="189" t="s">
        <v>199</v>
      </c>
      <c r="F60" s="241" t="s">
        <v>529</v>
      </c>
      <c r="G60" s="352" t="s">
        <v>511</v>
      </c>
    </row>
    <row r="61" spans="1:11" s="75" customFormat="1" ht="12.75" customHeight="1">
      <c r="H61" s="74"/>
    </row>
    <row r="62" spans="1:11" s="75" customFormat="1" ht="12.75" customHeight="1">
      <c r="H62" s="74"/>
    </row>
    <row r="63" spans="1:11" s="75" customFormat="1" ht="12.75" customHeight="1">
      <c r="A63" s="189" t="s">
        <v>510</v>
      </c>
      <c r="B63" s="409" t="str">
        <f>IF(登!$D$1="",""," "&amp;VLOOKUP(登!$D$1,名!$G$2:$J$54,4,0))</f>
        <v/>
      </c>
      <c r="C63" s="409"/>
      <c r="D63" s="409"/>
      <c r="E63" s="189" t="s">
        <v>509</v>
      </c>
      <c r="F63" s="241" t="s">
        <v>530</v>
      </c>
      <c r="G63" s="352" t="s">
        <v>511</v>
      </c>
      <c r="H63" s="74"/>
      <c r="K63" s="190"/>
    </row>
    <row r="64" spans="1:11" ht="12.75" customHeight="1"/>
    <row r="65" spans="1:10" s="191" customFormat="1" ht="12.75" customHeight="1">
      <c r="H65" s="192"/>
    </row>
    <row r="66" spans="1:10" s="191" customFormat="1" ht="22.5" customHeight="1">
      <c r="B66" s="346">
        <f>B2</f>
        <v>1</v>
      </c>
      <c r="C66" s="398" t="str">
        <f>C2</f>
        <v>令和元年度県高校弓道地区大会（西毛）</v>
      </c>
      <c r="D66" s="399"/>
      <c r="E66" s="399"/>
      <c r="F66" s="399"/>
      <c r="G66" s="400"/>
      <c r="H66" s="192"/>
    </row>
    <row r="67" spans="1:10" s="191" customFormat="1" ht="12.75" customHeight="1">
      <c r="B67" s="193"/>
      <c r="C67" s="193"/>
      <c r="D67" s="194"/>
      <c r="E67" s="194"/>
      <c r="F67" s="194"/>
      <c r="G67" s="195"/>
      <c r="H67" s="192"/>
    </row>
    <row r="68" spans="1:10" s="191" customFormat="1" ht="12.75" customHeight="1">
      <c r="B68" s="401" t="s">
        <v>11</v>
      </c>
      <c r="C68" s="401"/>
      <c r="D68" s="402" t="str">
        <f>D4</f>
        <v>○　○　○　○</v>
      </c>
      <c r="E68" s="403"/>
      <c r="F68" s="404"/>
      <c r="G68" s="314"/>
      <c r="H68" s="246"/>
    </row>
    <row r="69" spans="1:10" s="191" customFormat="1" ht="12.75" customHeight="1">
      <c r="B69" s="193"/>
      <c r="C69" s="193"/>
      <c r="D69" s="194"/>
      <c r="E69" s="194"/>
      <c r="F69" s="194"/>
      <c r="G69" s="194"/>
      <c r="H69" s="192"/>
    </row>
    <row r="70" spans="1:10" s="191" customFormat="1" ht="12.75" customHeight="1">
      <c r="B70" s="388" t="str">
        <f>B6</f>
        <v>大会番号</v>
      </c>
      <c r="C70" s="388"/>
      <c r="D70" s="397">
        <f>D6</f>
        <v>11</v>
      </c>
      <c r="E70" s="397"/>
      <c r="F70" s="397"/>
      <c r="G70" s="397"/>
      <c r="H70" s="192"/>
      <c r="I70" s="197"/>
    </row>
    <row r="71" spans="1:10" s="191" customFormat="1" ht="12.75" customHeight="1">
      <c r="B71" s="388" t="str">
        <f t="shared" ref="B71:B73" si="2">B7</f>
        <v>参加申込締切</v>
      </c>
      <c r="C71" s="388"/>
      <c r="D71" s="389">
        <f>D7</f>
        <v>43734</v>
      </c>
      <c r="E71" s="390"/>
      <c r="F71" s="391" t="str">
        <f>F7</f>
        <v>木曜日　１６時</v>
      </c>
      <c r="G71" s="392"/>
      <c r="H71" s="192"/>
      <c r="I71" s="197"/>
    </row>
    <row r="72" spans="1:10" s="191" customFormat="1" ht="12.75" customHeight="1">
      <c r="B72" s="388" t="str">
        <f t="shared" si="2"/>
        <v>大会開催日</v>
      </c>
      <c r="C72" s="388"/>
      <c r="D72" s="389">
        <f>D8</f>
        <v>43743</v>
      </c>
      <c r="E72" s="390"/>
      <c r="F72" s="391" t="str">
        <f>F8</f>
        <v>土曜日</v>
      </c>
      <c r="G72" s="392"/>
      <c r="H72" s="192"/>
      <c r="I72" s="197"/>
    </row>
    <row r="73" spans="1:10" s="191" customFormat="1" ht="12.75" customHeight="1">
      <c r="B73" s="388" t="str">
        <f t="shared" si="2"/>
        <v>申込先</v>
      </c>
      <c r="C73" s="388"/>
      <c r="D73" s="393" t="str">
        <f>D9</f>
        <v>各地区委員のﾒｰﾙｱﾄﾞﾚｽ・FAXに送信してください。</v>
      </c>
      <c r="E73" s="454"/>
      <c r="F73" s="454"/>
      <c r="G73" s="394"/>
      <c r="H73" s="192"/>
      <c r="I73" s="197"/>
    </row>
    <row r="74" spans="1:10" s="191" customFormat="1" ht="12.75" customHeight="1">
      <c r="B74" s="197" t="str">
        <f>B10</f>
        <v>（弓のダブったもの同士が近い番号にならないように考えてください）</v>
      </c>
      <c r="C74" s="197"/>
      <c r="D74" s="195"/>
      <c r="E74" s="195"/>
      <c r="F74" s="195"/>
      <c r="G74" s="195"/>
      <c r="H74" s="192"/>
      <c r="I74" s="197"/>
    </row>
    <row r="75" spans="1:10" s="191" customFormat="1" ht="22.5" customHeight="1">
      <c r="B75" s="384" t="str">
        <f>B11</f>
        <v>男　子　団　体　参　加　申　込　書</v>
      </c>
      <c r="C75" s="384"/>
      <c r="D75" s="384"/>
      <c r="E75" s="384"/>
      <c r="F75" s="384"/>
      <c r="G75" s="384"/>
      <c r="H75" s="192"/>
      <c r="I75" s="455" t="s">
        <v>53</v>
      </c>
      <c r="J75" s="456"/>
    </row>
    <row r="76" spans="1:10" s="191" customFormat="1" ht="12.75" customHeight="1">
      <c r="A76" s="346" t="str">
        <f>IF(A12="","",A12)</f>
        <v>立順</v>
      </c>
      <c r="B76" s="198" t="str">
        <f t="shared" ref="B76:J76" si="3">IF(B12="","",B12)</f>
        <v>チーム</v>
      </c>
      <c r="C76" s="199" t="str">
        <f t="shared" si="3"/>
        <v>校　名</v>
      </c>
      <c r="D76" s="200" t="str">
        <f t="shared" si="3"/>
        <v>登録番号</v>
      </c>
      <c r="E76" s="201" t="str">
        <f t="shared" si="3"/>
        <v>立　順</v>
      </c>
      <c r="F76" s="202" t="str">
        <f t="shared" si="3"/>
        <v>選　　手　　名</v>
      </c>
      <c r="G76" s="203" t="str">
        <f t="shared" si="3"/>
        <v>学　年</v>
      </c>
      <c r="H76" s="346" t="str">
        <f t="shared" si="3"/>
        <v>重複ﾁｪｯｸ</v>
      </c>
      <c r="I76" s="346" t="str">
        <f t="shared" si="3"/>
        <v>ありなし</v>
      </c>
      <c r="J76" s="346" t="str">
        <f t="shared" si="3"/>
        <v>だぶる立順</v>
      </c>
    </row>
    <row r="77" spans="1:10" s="191" customFormat="1" ht="12.75" customHeight="1">
      <c r="A77" s="204" t="str">
        <f t="shared" ref="A77:J77" si="4">IF(A13="","",A13)</f>
        <v/>
      </c>
      <c r="B77" s="205" t="str">
        <f t="shared" si="4"/>
        <v>Ａ</v>
      </c>
      <c r="C77" s="206" t="str">
        <f t="shared" si="4"/>
        <v/>
      </c>
      <c r="D77" s="139" t="str">
        <f t="shared" si="4"/>
        <v/>
      </c>
      <c r="E77" s="207">
        <f t="shared" si="4"/>
        <v>1</v>
      </c>
      <c r="F77" s="208" t="str">
        <f t="shared" si="4"/>
        <v/>
      </c>
      <c r="G77" s="209" t="str">
        <f t="shared" si="4"/>
        <v/>
      </c>
      <c r="H77" s="204" t="str">
        <f t="shared" si="4"/>
        <v/>
      </c>
      <c r="I77" s="315" t="str">
        <f t="shared" si="4"/>
        <v/>
      </c>
      <c r="J77" s="316" t="str">
        <f t="shared" si="4"/>
        <v/>
      </c>
    </row>
    <row r="78" spans="1:10" s="191" customFormat="1" ht="12.75" customHeight="1">
      <c r="A78" s="317" t="str">
        <f t="shared" ref="A78:J78" si="5">IF(A14="","",A14)</f>
        <v/>
      </c>
      <c r="B78" s="318" t="str">
        <f t="shared" si="5"/>
        <v>Ａ</v>
      </c>
      <c r="C78" s="319" t="str">
        <f t="shared" si="5"/>
        <v/>
      </c>
      <c r="D78" s="320" t="str">
        <f t="shared" si="5"/>
        <v/>
      </c>
      <c r="E78" s="321">
        <f t="shared" si="5"/>
        <v>2</v>
      </c>
      <c r="F78" s="322" t="str">
        <f t="shared" si="5"/>
        <v/>
      </c>
      <c r="G78" s="323" t="str">
        <f t="shared" si="5"/>
        <v/>
      </c>
      <c r="H78" s="317" t="str">
        <f t="shared" si="5"/>
        <v/>
      </c>
      <c r="I78" s="324" t="str">
        <f t="shared" si="5"/>
        <v/>
      </c>
      <c r="J78" s="325" t="str">
        <f t="shared" si="5"/>
        <v/>
      </c>
    </row>
    <row r="79" spans="1:10" s="191" customFormat="1" ht="12.75" customHeight="1">
      <c r="A79" s="210" t="str">
        <f t="shared" ref="A79:J79" si="6">IF(A15="","",A15)</f>
        <v/>
      </c>
      <c r="B79" s="211" t="str">
        <f t="shared" si="6"/>
        <v>Ａ</v>
      </c>
      <c r="C79" s="212" t="str">
        <f t="shared" si="6"/>
        <v/>
      </c>
      <c r="D79" s="140" t="str">
        <f t="shared" si="6"/>
        <v/>
      </c>
      <c r="E79" s="213">
        <f t="shared" si="6"/>
        <v>3</v>
      </c>
      <c r="F79" s="214" t="str">
        <f t="shared" si="6"/>
        <v/>
      </c>
      <c r="G79" s="215" t="str">
        <f t="shared" si="6"/>
        <v/>
      </c>
      <c r="H79" s="210" t="str">
        <f t="shared" si="6"/>
        <v/>
      </c>
      <c r="I79" s="326" t="str">
        <f t="shared" si="6"/>
        <v/>
      </c>
      <c r="J79" s="327" t="str">
        <f t="shared" si="6"/>
        <v/>
      </c>
    </row>
    <row r="80" spans="1:10" s="191" customFormat="1" ht="12.75" customHeight="1">
      <c r="A80" s="225" t="str">
        <f t="shared" ref="A80:J80" si="7">IF(A16="","",A16)</f>
        <v/>
      </c>
      <c r="B80" s="226" t="str">
        <f t="shared" si="7"/>
        <v>Ａ</v>
      </c>
      <c r="C80" s="227" t="str">
        <f t="shared" si="7"/>
        <v/>
      </c>
      <c r="D80" s="141" t="str">
        <f t="shared" si="7"/>
        <v/>
      </c>
      <c r="E80" s="228">
        <f t="shared" si="7"/>
        <v>4</v>
      </c>
      <c r="F80" s="237" t="str">
        <f t="shared" si="7"/>
        <v/>
      </c>
      <c r="G80" s="230" t="str">
        <f t="shared" si="7"/>
        <v/>
      </c>
      <c r="H80" s="225" t="str">
        <f t="shared" si="7"/>
        <v/>
      </c>
      <c r="I80" s="328" t="str">
        <f t="shared" si="7"/>
        <v/>
      </c>
      <c r="J80" s="329" t="str">
        <f t="shared" si="7"/>
        <v/>
      </c>
    </row>
    <row r="81" spans="1:10" s="191" customFormat="1" ht="12.75" customHeight="1">
      <c r="A81" s="204" t="str">
        <f t="shared" ref="A81:J81" si="8">IF(A17="","",A17)</f>
        <v/>
      </c>
      <c r="B81" s="205" t="str">
        <f t="shared" si="8"/>
        <v>Ｂ</v>
      </c>
      <c r="C81" s="206" t="str">
        <f t="shared" si="8"/>
        <v/>
      </c>
      <c r="D81" s="139" t="str">
        <f t="shared" si="8"/>
        <v/>
      </c>
      <c r="E81" s="207">
        <f t="shared" si="8"/>
        <v>5</v>
      </c>
      <c r="F81" s="208" t="str">
        <f t="shared" si="8"/>
        <v/>
      </c>
      <c r="G81" s="209" t="str">
        <f t="shared" si="8"/>
        <v/>
      </c>
      <c r="H81" s="204" t="str">
        <f t="shared" si="8"/>
        <v/>
      </c>
      <c r="I81" s="315" t="str">
        <f t="shared" si="8"/>
        <v/>
      </c>
      <c r="J81" s="316" t="str">
        <f t="shared" si="8"/>
        <v/>
      </c>
    </row>
    <row r="82" spans="1:10" s="191" customFormat="1" ht="12.75" customHeight="1">
      <c r="A82" s="317" t="str">
        <f t="shared" ref="A82:J82" si="9">IF(A18="","",A18)</f>
        <v/>
      </c>
      <c r="B82" s="318" t="str">
        <f t="shared" si="9"/>
        <v>Ｂ</v>
      </c>
      <c r="C82" s="319" t="str">
        <f t="shared" si="9"/>
        <v/>
      </c>
      <c r="D82" s="320" t="str">
        <f t="shared" si="9"/>
        <v/>
      </c>
      <c r="E82" s="321">
        <f t="shared" si="9"/>
        <v>6</v>
      </c>
      <c r="F82" s="322" t="str">
        <f t="shared" si="9"/>
        <v/>
      </c>
      <c r="G82" s="323" t="str">
        <f t="shared" si="9"/>
        <v/>
      </c>
      <c r="H82" s="317" t="str">
        <f t="shared" si="9"/>
        <v/>
      </c>
      <c r="I82" s="324" t="str">
        <f t="shared" si="9"/>
        <v/>
      </c>
      <c r="J82" s="325" t="str">
        <f t="shared" si="9"/>
        <v/>
      </c>
    </row>
    <row r="83" spans="1:10" s="191" customFormat="1" ht="12.75" customHeight="1">
      <c r="A83" s="210" t="str">
        <f t="shared" ref="A83:J83" si="10">IF(A19="","",A19)</f>
        <v/>
      </c>
      <c r="B83" s="211" t="str">
        <f t="shared" si="10"/>
        <v>Ｂ</v>
      </c>
      <c r="C83" s="212" t="str">
        <f t="shared" si="10"/>
        <v/>
      </c>
      <c r="D83" s="140" t="str">
        <f t="shared" si="10"/>
        <v/>
      </c>
      <c r="E83" s="213">
        <f t="shared" si="10"/>
        <v>7</v>
      </c>
      <c r="F83" s="214" t="str">
        <f t="shared" si="10"/>
        <v/>
      </c>
      <c r="G83" s="215" t="str">
        <f t="shared" si="10"/>
        <v/>
      </c>
      <c r="H83" s="210" t="str">
        <f t="shared" si="10"/>
        <v/>
      </c>
      <c r="I83" s="326" t="str">
        <f t="shared" si="10"/>
        <v/>
      </c>
      <c r="J83" s="327" t="str">
        <f t="shared" si="10"/>
        <v/>
      </c>
    </row>
    <row r="84" spans="1:10" s="191" customFormat="1" ht="12.75" customHeight="1">
      <c r="A84" s="225" t="str">
        <f t="shared" ref="A84:J84" si="11">IF(A20="","",A20)</f>
        <v/>
      </c>
      <c r="B84" s="226" t="str">
        <f t="shared" si="11"/>
        <v>Ｂ</v>
      </c>
      <c r="C84" s="227" t="str">
        <f t="shared" si="11"/>
        <v/>
      </c>
      <c r="D84" s="141" t="str">
        <f t="shared" si="11"/>
        <v/>
      </c>
      <c r="E84" s="228">
        <f t="shared" si="11"/>
        <v>8</v>
      </c>
      <c r="F84" s="237" t="str">
        <f t="shared" si="11"/>
        <v/>
      </c>
      <c r="G84" s="230" t="str">
        <f t="shared" si="11"/>
        <v/>
      </c>
      <c r="H84" s="225" t="str">
        <f t="shared" si="11"/>
        <v/>
      </c>
      <c r="I84" s="328" t="str">
        <f t="shared" si="11"/>
        <v/>
      </c>
      <c r="J84" s="329" t="str">
        <f t="shared" si="11"/>
        <v/>
      </c>
    </row>
    <row r="85" spans="1:10" s="191" customFormat="1" ht="12.75" customHeight="1">
      <c r="A85" s="204" t="str">
        <f t="shared" ref="A85:J85" si="12">IF(A21="","",A21)</f>
        <v/>
      </c>
      <c r="B85" s="205" t="str">
        <f t="shared" si="12"/>
        <v>Ａ</v>
      </c>
      <c r="C85" s="206" t="str">
        <f t="shared" si="12"/>
        <v/>
      </c>
      <c r="D85" s="139" t="str">
        <f t="shared" si="12"/>
        <v/>
      </c>
      <c r="E85" s="207">
        <f t="shared" si="12"/>
        <v>4</v>
      </c>
      <c r="F85" s="223" t="str">
        <f t="shared" si="12"/>
        <v/>
      </c>
      <c r="G85" s="209" t="str">
        <f t="shared" si="12"/>
        <v/>
      </c>
      <c r="H85" s="224" t="str">
        <f t="shared" si="12"/>
        <v/>
      </c>
      <c r="I85" s="316" t="str">
        <f t="shared" si="12"/>
        <v/>
      </c>
      <c r="J85" s="330" t="str">
        <f t="shared" si="12"/>
        <v/>
      </c>
    </row>
    <row r="86" spans="1:10" s="191" customFormat="1" ht="12.75" customHeight="1">
      <c r="A86" s="225" t="str">
        <f t="shared" ref="A86:J86" si="13">IF(A22="","",A22)</f>
        <v/>
      </c>
      <c r="B86" s="226" t="str">
        <f t="shared" si="13"/>
        <v>Ｂ</v>
      </c>
      <c r="C86" s="227" t="str">
        <f t="shared" si="13"/>
        <v/>
      </c>
      <c r="D86" s="141" t="str">
        <f t="shared" si="13"/>
        <v/>
      </c>
      <c r="E86" s="228">
        <f t="shared" si="13"/>
        <v>8</v>
      </c>
      <c r="F86" s="229" t="str">
        <f t="shared" si="13"/>
        <v/>
      </c>
      <c r="G86" s="230" t="str">
        <f t="shared" si="13"/>
        <v/>
      </c>
      <c r="H86" s="231" t="str">
        <f t="shared" si="13"/>
        <v/>
      </c>
      <c r="I86" s="329" t="str">
        <f t="shared" si="13"/>
        <v/>
      </c>
      <c r="J86" s="331" t="str">
        <f t="shared" si="13"/>
        <v/>
      </c>
    </row>
    <row r="87" spans="1:10" s="191" customFormat="1" ht="12.75" customHeight="1">
      <c r="B87" s="247" t="str">
        <f>B23</f>
        <v>（４はＡチーム補欠、８はＢチーム補欠です）</v>
      </c>
      <c r="C87" s="246"/>
      <c r="D87" s="246"/>
      <c r="E87" s="246"/>
      <c r="F87" s="246"/>
      <c r="G87" s="246"/>
      <c r="H87" s="192"/>
    </row>
    <row r="88" spans="1:10" s="191" customFormat="1" ht="22.5" customHeight="1">
      <c r="B88" s="384" t="str">
        <f>IF(B66=1,"男　子　個　人　参　加　申　込　書","女　子　個　人　参　加　申　込　書")</f>
        <v>男　子　個　人　参　加　申　込　書</v>
      </c>
      <c r="C88" s="384"/>
      <c r="D88" s="384"/>
      <c r="E88" s="384"/>
      <c r="F88" s="384"/>
      <c r="G88" s="384"/>
      <c r="H88" s="192"/>
      <c r="I88" s="455" t="s">
        <v>53</v>
      </c>
      <c r="J88" s="456"/>
    </row>
    <row r="89" spans="1:10" s="191" customFormat="1" ht="12.75" customHeight="1">
      <c r="A89" s="346" t="str">
        <f>IF(A25="","",A25)</f>
        <v>立順</v>
      </c>
      <c r="B89" s="198" t="str">
        <f t="shared" ref="B89:J89" si="14">IF(B25="","",B25)</f>
        <v>チーム</v>
      </c>
      <c r="C89" s="202" t="str">
        <f t="shared" si="14"/>
        <v>校　名</v>
      </c>
      <c r="D89" s="200" t="str">
        <f t="shared" si="14"/>
        <v>登録番号</v>
      </c>
      <c r="E89" s="202" t="str">
        <f t="shared" si="14"/>
        <v>立　順</v>
      </c>
      <c r="F89" s="202" t="str">
        <f t="shared" si="14"/>
        <v>選　　手　　名</v>
      </c>
      <c r="G89" s="203" t="str">
        <f t="shared" si="14"/>
        <v>学　年</v>
      </c>
      <c r="H89" s="346" t="str">
        <f t="shared" si="14"/>
        <v>重複ﾁｪｯｸ</v>
      </c>
      <c r="I89" s="346" t="str">
        <f t="shared" si="14"/>
        <v>ありなし</v>
      </c>
      <c r="J89" s="346" t="str">
        <f t="shared" si="14"/>
        <v>だぶる立順</v>
      </c>
    </row>
    <row r="90" spans="1:10" s="191" customFormat="1" ht="12.75" customHeight="1">
      <c r="A90" s="204" t="str">
        <f t="shared" ref="A90:J90" si="15">IF(A26="","",A26)</f>
        <v/>
      </c>
      <c r="B90" s="205" t="str">
        <f t="shared" si="15"/>
        <v>個</v>
      </c>
      <c r="C90" s="234" t="str">
        <f t="shared" si="15"/>
        <v/>
      </c>
      <c r="D90" s="139" t="str">
        <f t="shared" si="15"/>
        <v/>
      </c>
      <c r="E90" s="234">
        <f t="shared" si="15"/>
        <v>9</v>
      </c>
      <c r="F90" s="208" t="str">
        <f t="shared" si="15"/>
        <v/>
      </c>
      <c r="G90" s="209" t="str">
        <f t="shared" si="15"/>
        <v/>
      </c>
      <c r="H90" s="204" t="str">
        <f t="shared" si="15"/>
        <v/>
      </c>
      <c r="I90" s="315" t="str">
        <f t="shared" si="15"/>
        <v/>
      </c>
      <c r="J90" s="316" t="str">
        <f t="shared" si="15"/>
        <v/>
      </c>
    </row>
    <row r="91" spans="1:10" s="191" customFormat="1" ht="12.75" customHeight="1">
      <c r="A91" s="210" t="str">
        <f t="shared" ref="A91:J91" si="16">IF(A27="","",A27)</f>
        <v/>
      </c>
      <c r="B91" s="211" t="str">
        <f t="shared" si="16"/>
        <v>個</v>
      </c>
      <c r="C91" s="235" t="str">
        <f t="shared" si="16"/>
        <v/>
      </c>
      <c r="D91" s="140" t="str">
        <f t="shared" si="16"/>
        <v/>
      </c>
      <c r="E91" s="235">
        <f t="shared" si="16"/>
        <v>10</v>
      </c>
      <c r="F91" s="214" t="str">
        <f t="shared" si="16"/>
        <v/>
      </c>
      <c r="G91" s="215" t="str">
        <f t="shared" si="16"/>
        <v/>
      </c>
      <c r="H91" s="210" t="str">
        <f t="shared" si="16"/>
        <v/>
      </c>
      <c r="I91" s="326" t="str">
        <f t="shared" si="16"/>
        <v/>
      </c>
      <c r="J91" s="327" t="str">
        <f t="shared" si="16"/>
        <v/>
      </c>
    </row>
    <row r="92" spans="1:10" s="191" customFormat="1" ht="12.75" customHeight="1">
      <c r="A92" s="225" t="str">
        <f t="shared" ref="A92:J92" si="17">IF(A28="","",A28)</f>
        <v/>
      </c>
      <c r="B92" s="226" t="str">
        <f t="shared" si="17"/>
        <v>個</v>
      </c>
      <c r="C92" s="236" t="str">
        <f t="shared" si="17"/>
        <v/>
      </c>
      <c r="D92" s="141" t="str">
        <f t="shared" si="17"/>
        <v/>
      </c>
      <c r="E92" s="236">
        <f t="shared" si="17"/>
        <v>11</v>
      </c>
      <c r="F92" s="237" t="str">
        <f t="shared" si="17"/>
        <v/>
      </c>
      <c r="G92" s="230" t="str">
        <f t="shared" si="17"/>
        <v/>
      </c>
      <c r="H92" s="225" t="str">
        <f t="shared" si="17"/>
        <v/>
      </c>
      <c r="I92" s="328" t="str">
        <f t="shared" si="17"/>
        <v/>
      </c>
      <c r="J92" s="329" t="str">
        <f t="shared" si="17"/>
        <v/>
      </c>
    </row>
    <row r="93" spans="1:10" s="191" customFormat="1" ht="12.75" customHeight="1">
      <c r="A93" s="204" t="str">
        <f t="shared" ref="A93:J93" si="18">IF(A29="","",A29)</f>
        <v/>
      </c>
      <c r="B93" s="205" t="str">
        <f t="shared" si="18"/>
        <v>個</v>
      </c>
      <c r="C93" s="234" t="str">
        <f t="shared" si="18"/>
        <v/>
      </c>
      <c r="D93" s="139" t="str">
        <f t="shared" si="18"/>
        <v/>
      </c>
      <c r="E93" s="234">
        <f t="shared" si="18"/>
        <v>12</v>
      </c>
      <c r="F93" s="208" t="str">
        <f t="shared" si="18"/>
        <v/>
      </c>
      <c r="G93" s="209" t="str">
        <f t="shared" si="18"/>
        <v/>
      </c>
      <c r="H93" s="204" t="str">
        <f t="shared" si="18"/>
        <v/>
      </c>
      <c r="I93" s="315" t="str">
        <f t="shared" si="18"/>
        <v/>
      </c>
      <c r="J93" s="316" t="str">
        <f t="shared" si="18"/>
        <v/>
      </c>
    </row>
    <row r="94" spans="1:10" s="191" customFormat="1" ht="12.75" customHeight="1">
      <c r="A94" s="210" t="str">
        <f t="shared" ref="A94:J94" si="19">IF(A30="","",A30)</f>
        <v/>
      </c>
      <c r="B94" s="211" t="str">
        <f t="shared" si="19"/>
        <v>個</v>
      </c>
      <c r="C94" s="235" t="str">
        <f t="shared" si="19"/>
        <v/>
      </c>
      <c r="D94" s="140" t="str">
        <f t="shared" si="19"/>
        <v/>
      </c>
      <c r="E94" s="235">
        <f t="shared" si="19"/>
        <v>13</v>
      </c>
      <c r="F94" s="214" t="str">
        <f t="shared" si="19"/>
        <v/>
      </c>
      <c r="G94" s="215" t="str">
        <f t="shared" si="19"/>
        <v/>
      </c>
      <c r="H94" s="210" t="str">
        <f t="shared" si="19"/>
        <v/>
      </c>
      <c r="I94" s="326" t="str">
        <f t="shared" si="19"/>
        <v/>
      </c>
      <c r="J94" s="327" t="str">
        <f t="shared" si="19"/>
        <v/>
      </c>
    </row>
    <row r="95" spans="1:10" s="191" customFormat="1" ht="12.75" customHeight="1">
      <c r="A95" s="225" t="str">
        <f t="shared" ref="A95:J95" si="20">IF(A31="","",A31)</f>
        <v/>
      </c>
      <c r="B95" s="226" t="str">
        <f t="shared" si="20"/>
        <v>個</v>
      </c>
      <c r="C95" s="236" t="str">
        <f t="shared" si="20"/>
        <v/>
      </c>
      <c r="D95" s="141" t="str">
        <f t="shared" si="20"/>
        <v/>
      </c>
      <c r="E95" s="236">
        <f t="shared" si="20"/>
        <v>14</v>
      </c>
      <c r="F95" s="237" t="str">
        <f t="shared" si="20"/>
        <v/>
      </c>
      <c r="G95" s="230" t="str">
        <f t="shared" si="20"/>
        <v/>
      </c>
      <c r="H95" s="225" t="str">
        <f t="shared" si="20"/>
        <v/>
      </c>
      <c r="I95" s="328" t="str">
        <f t="shared" si="20"/>
        <v/>
      </c>
      <c r="J95" s="329" t="str">
        <f t="shared" si="20"/>
        <v/>
      </c>
    </row>
    <row r="96" spans="1:10" s="191" customFormat="1" ht="12.75" customHeight="1">
      <c r="A96" s="204" t="str">
        <f t="shared" ref="A96:J96" si="21">IF(A32="","",A32)</f>
        <v/>
      </c>
      <c r="B96" s="205" t="str">
        <f t="shared" si="21"/>
        <v>個</v>
      </c>
      <c r="C96" s="234" t="str">
        <f t="shared" si="21"/>
        <v/>
      </c>
      <c r="D96" s="139" t="str">
        <f t="shared" si="21"/>
        <v/>
      </c>
      <c r="E96" s="234">
        <f t="shared" si="21"/>
        <v>15</v>
      </c>
      <c r="F96" s="208" t="str">
        <f t="shared" si="21"/>
        <v/>
      </c>
      <c r="G96" s="209" t="str">
        <f t="shared" si="21"/>
        <v/>
      </c>
      <c r="H96" s="204" t="str">
        <f t="shared" si="21"/>
        <v/>
      </c>
      <c r="I96" s="315" t="str">
        <f t="shared" si="21"/>
        <v/>
      </c>
      <c r="J96" s="316" t="str">
        <f t="shared" si="21"/>
        <v/>
      </c>
    </row>
    <row r="97" spans="1:12" s="191" customFormat="1" ht="12.75" customHeight="1">
      <c r="A97" s="210" t="str">
        <f t="shared" ref="A97:J97" si="22">IF(A33="","",A33)</f>
        <v/>
      </c>
      <c r="B97" s="211" t="str">
        <f t="shared" si="22"/>
        <v>個</v>
      </c>
      <c r="C97" s="235" t="str">
        <f t="shared" si="22"/>
        <v/>
      </c>
      <c r="D97" s="140" t="str">
        <f t="shared" si="22"/>
        <v/>
      </c>
      <c r="E97" s="235">
        <f t="shared" si="22"/>
        <v>16</v>
      </c>
      <c r="F97" s="214" t="str">
        <f t="shared" si="22"/>
        <v/>
      </c>
      <c r="G97" s="215" t="str">
        <f t="shared" si="22"/>
        <v/>
      </c>
      <c r="H97" s="210" t="str">
        <f t="shared" si="22"/>
        <v/>
      </c>
      <c r="I97" s="326" t="str">
        <f t="shared" si="22"/>
        <v/>
      </c>
      <c r="J97" s="327" t="str">
        <f t="shared" si="22"/>
        <v/>
      </c>
    </row>
    <row r="98" spans="1:12" s="191" customFormat="1" ht="12.75" customHeight="1">
      <c r="A98" s="225" t="str">
        <f t="shared" ref="A98:J98" si="23">IF(A34="","",A34)</f>
        <v/>
      </c>
      <c r="B98" s="226" t="str">
        <f t="shared" si="23"/>
        <v>個</v>
      </c>
      <c r="C98" s="236" t="str">
        <f t="shared" si="23"/>
        <v/>
      </c>
      <c r="D98" s="141" t="str">
        <f t="shared" si="23"/>
        <v/>
      </c>
      <c r="E98" s="236">
        <f t="shared" si="23"/>
        <v>17</v>
      </c>
      <c r="F98" s="237" t="str">
        <f t="shared" si="23"/>
        <v/>
      </c>
      <c r="G98" s="230" t="str">
        <f t="shared" si="23"/>
        <v/>
      </c>
      <c r="H98" s="225" t="str">
        <f t="shared" si="23"/>
        <v/>
      </c>
      <c r="I98" s="328" t="str">
        <f t="shared" si="23"/>
        <v/>
      </c>
      <c r="J98" s="329" t="str">
        <f t="shared" si="23"/>
        <v/>
      </c>
      <c r="L98" s="197"/>
    </row>
    <row r="99" spans="1:12" s="191" customFormat="1" ht="12.75" customHeight="1">
      <c r="A99" s="204" t="str">
        <f t="shared" ref="A99:J99" si="24">IF(A35="","",A35)</f>
        <v/>
      </c>
      <c r="B99" s="205" t="str">
        <f t="shared" si="24"/>
        <v>個</v>
      </c>
      <c r="C99" s="234" t="str">
        <f t="shared" si="24"/>
        <v/>
      </c>
      <c r="D99" s="139" t="str">
        <f t="shared" si="24"/>
        <v/>
      </c>
      <c r="E99" s="234">
        <f t="shared" si="24"/>
        <v>18</v>
      </c>
      <c r="F99" s="208" t="str">
        <f t="shared" si="24"/>
        <v/>
      </c>
      <c r="G99" s="209" t="str">
        <f t="shared" si="24"/>
        <v/>
      </c>
      <c r="H99" s="204" t="str">
        <f t="shared" si="24"/>
        <v/>
      </c>
      <c r="I99" s="315" t="str">
        <f t="shared" si="24"/>
        <v/>
      </c>
      <c r="J99" s="316" t="str">
        <f t="shared" si="24"/>
        <v/>
      </c>
      <c r="L99" s="197"/>
    </row>
    <row r="100" spans="1:12" s="191" customFormat="1" ht="12.75" customHeight="1">
      <c r="A100" s="210" t="str">
        <f t="shared" ref="A100:J100" si="25">IF(A36="","",A36)</f>
        <v/>
      </c>
      <c r="B100" s="211" t="str">
        <f t="shared" si="25"/>
        <v>個</v>
      </c>
      <c r="C100" s="235" t="str">
        <f t="shared" si="25"/>
        <v/>
      </c>
      <c r="D100" s="140" t="str">
        <f t="shared" si="25"/>
        <v/>
      </c>
      <c r="E100" s="235">
        <f t="shared" si="25"/>
        <v>19</v>
      </c>
      <c r="F100" s="214" t="str">
        <f t="shared" si="25"/>
        <v/>
      </c>
      <c r="G100" s="215" t="str">
        <f t="shared" si="25"/>
        <v/>
      </c>
      <c r="H100" s="210" t="str">
        <f t="shared" si="25"/>
        <v/>
      </c>
      <c r="I100" s="326" t="str">
        <f t="shared" si="25"/>
        <v/>
      </c>
      <c r="J100" s="327" t="str">
        <f t="shared" si="25"/>
        <v/>
      </c>
      <c r="L100" s="197"/>
    </row>
    <row r="101" spans="1:12" s="191" customFormat="1" ht="12.75" customHeight="1">
      <c r="A101" s="225" t="str">
        <f t="shared" ref="A101:J101" si="26">IF(A37="","",A37)</f>
        <v/>
      </c>
      <c r="B101" s="226" t="str">
        <f t="shared" si="26"/>
        <v>個</v>
      </c>
      <c r="C101" s="236" t="str">
        <f t="shared" si="26"/>
        <v/>
      </c>
      <c r="D101" s="141" t="str">
        <f t="shared" si="26"/>
        <v/>
      </c>
      <c r="E101" s="236">
        <f t="shared" si="26"/>
        <v>20</v>
      </c>
      <c r="F101" s="237" t="str">
        <f t="shared" si="26"/>
        <v/>
      </c>
      <c r="G101" s="230" t="str">
        <f t="shared" si="26"/>
        <v/>
      </c>
      <c r="H101" s="225" t="str">
        <f t="shared" si="26"/>
        <v/>
      </c>
      <c r="I101" s="328" t="str">
        <f t="shared" si="26"/>
        <v/>
      </c>
      <c r="J101" s="329" t="str">
        <f t="shared" si="26"/>
        <v/>
      </c>
      <c r="L101" s="197"/>
    </row>
    <row r="102" spans="1:12" s="191" customFormat="1" ht="12.75" customHeight="1">
      <c r="A102" s="204" t="str">
        <f t="shared" ref="A102:J102" si="27">IF(A38="","",A38)</f>
        <v/>
      </c>
      <c r="B102" s="205" t="str">
        <f t="shared" si="27"/>
        <v>個</v>
      </c>
      <c r="C102" s="234" t="str">
        <f t="shared" si="27"/>
        <v/>
      </c>
      <c r="D102" s="139" t="str">
        <f t="shared" si="27"/>
        <v/>
      </c>
      <c r="E102" s="234">
        <f t="shared" si="27"/>
        <v>21</v>
      </c>
      <c r="F102" s="208" t="str">
        <f t="shared" si="27"/>
        <v/>
      </c>
      <c r="G102" s="209" t="str">
        <f t="shared" si="27"/>
        <v/>
      </c>
      <c r="H102" s="204" t="str">
        <f t="shared" si="27"/>
        <v/>
      </c>
      <c r="I102" s="315" t="str">
        <f t="shared" si="27"/>
        <v/>
      </c>
      <c r="J102" s="316" t="str">
        <f t="shared" si="27"/>
        <v/>
      </c>
      <c r="L102" s="197"/>
    </row>
    <row r="103" spans="1:12" s="191" customFormat="1" ht="12.75" customHeight="1">
      <c r="A103" s="210" t="str">
        <f t="shared" ref="A103:J103" si="28">IF(A39="","",A39)</f>
        <v/>
      </c>
      <c r="B103" s="211" t="str">
        <f t="shared" si="28"/>
        <v>個</v>
      </c>
      <c r="C103" s="235" t="str">
        <f t="shared" si="28"/>
        <v/>
      </c>
      <c r="D103" s="140" t="str">
        <f t="shared" si="28"/>
        <v/>
      </c>
      <c r="E103" s="235">
        <f t="shared" si="28"/>
        <v>22</v>
      </c>
      <c r="F103" s="214" t="str">
        <f t="shared" si="28"/>
        <v/>
      </c>
      <c r="G103" s="215" t="str">
        <f t="shared" si="28"/>
        <v/>
      </c>
      <c r="H103" s="210" t="str">
        <f t="shared" si="28"/>
        <v/>
      </c>
      <c r="I103" s="326" t="str">
        <f t="shared" si="28"/>
        <v/>
      </c>
      <c r="J103" s="327" t="str">
        <f t="shared" si="28"/>
        <v/>
      </c>
    </row>
    <row r="104" spans="1:12" s="191" customFormat="1" ht="12.75" customHeight="1">
      <c r="A104" s="225" t="str">
        <f t="shared" ref="A104:J104" si="29">IF(A40="","",A40)</f>
        <v/>
      </c>
      <c r="B104" s="226" t="str">
        <f t="shared" si="29"/>
        <v>個</v>
      </c>
      <c r="C104" s="236" t="str">
        <f t="shared" si="29"/>
        <v/>
      </c>
      <c r="D104" s="141" t="str">
        <f t="shared" si="29"/>
        <v/>
      </c>
      <c r="E104" s="236">
        <f t="shared" si="29"/>
        <v>23</v>
      </c>
      <c r="F104" s="237" t="str">
        <f t="shared" si="29"/>
        <v/>
      </c>
      <c r="G104" s="230" t="str">
        <f t="shared" si="29"/>
        <v/>
      </c>
      <c r="H104" s="225" t="str">
        <f t="shared" si="29"/>
        <v/>
      </c>
      <c r="I104" s="328" t="str">
        <f t="shared" si="29"/>
        <v/>
      </c>
      <c r="J104" s="329" t="str">
        <f t="shared" si="29"/>
        <v/>
      </c>
    </row>
    <row r="105" spans="1:12" s="191" customFormat="1" ht="12.75" customHeight="1">
      <c r="A105" s="204" t="str">
        <f t="shared" ref="A105:J105" si="30">IF(A41="","",A41)</f>
        <v/>
      </c>
      <c r="B105" s="205" t="str">
        <f t="shared" si="30"/>
        <v>個</v>
      </c>
      <c r="C105" s="234" t="str">
        <f t="shared" si="30"/>
        <v/>
      </c>
      <c r="D105" s="139" t="str">
        <f t="shared" si="30"/>
        <v/>
      </c>
      <c r="E105" s="234">
        <f t="shared" si="30"/>
        <v>24</v>
      </c>
      <c r="F105" s="208" t="str">
        <f t="shared" si="30"/>
        <v/>
      </c>
      <c r="G105" s="209" t="str">
        <f t="shared" si="30"/>
        <v/>
      </c>
      <c r="H105" s="204" t="str">
        <f t="shared" si="30"/>
        <v/>
      </c>
      <c r="I105" s="315" t="str">
        <f t="shared" si="30"/>
        <v/>
      </c>
      <c r="J105" s="316" t="str">
        <f t="shared" si="30"/>
        <v/>
      </c>
    </row>
    <row r="106" spans="1:12" s="191" customFormat="1" ht="12.75" customHeight="1">
      <c r="A106" s="210" t="str">
        <f t="shared" ref="A106:J106" si="31">IF(A42="","",A42)</f>
        <v/>
      </c>
      <c r="B106" s="211" t="str">
        <f t="shared" si="31"/>
        <v>個</v>
      </c>
      <c r="C106" s="235" t="str">
        <f t="shared" si="31"/>
        <v/>
      </c>
      <c r="D106" s="140" t="str">
        <f t="shared" si="31"/>
        <v/>
      </c>
      <c r="E106" s="235">
        <f t="shared" si="31"/>
        <v>25</v>
      </c>
      <c r="F106" s="214" t="str">
        <f t="shared" si="31"/>
        <v/>
      </c>
      <c r="G106" s="215" t="str">
        <f t="shared" si="31"/>
        <v/>
      </c>
      <c r="H106" s="210" t="str">
        <f t="shared" si="31"/>
        <v/>
      </c>
      <c r="I106" s="326" t="str">
        <f t="shared" si="31"/>
        <v/>
      </c>
      <c r="J106" s="327" t="str">
        <f t="shared" si="31"/>
        <v/>
      </c>
    </row>
    <row r="107" spans="1:12" s="191" customFormat="1" ht="12.75" customHeight="1">
      <c r="A107" s="225" t="str">
        <f t="shared" ref="A107:J107" si="32">IF(A43="","",A43)</f>
        <v/>
      </c>
      <c r="B107" s="226" t="str">
        <f t="shared" si="32"/>
        <v>個</v>
      </c>
      <c r="C107" s="236" t="str">
        <f t="shared" si="32"/>
        <v/>
      </c>
      <c r="D107" s="141" t="str">
        <f t="shared" si="32"/>
        <v/>
      </c>
      <c r="E107" s="236">
        <f t="shared" si="32"/>
        <v>26</v>
      </c>
      <c r="F107" s="237" t="str">
        <f t="shared" si="32"/>
        <v/>
      </c>
      <c r="G107" s="230" t="str">
        <f t="shared" si="32"/>
        <v/>
      </c>
      <c r="H107" s="225" t="str">
        <f t="shared" si="32"/>
        <v/>
      </c>
      <c r="I107" s="328" t="str">
        <f t="shared" si="32"/>
        <v/>
      </c>
      <c r="J107" s="329" t="str">
        <f t="shared" si="32"/>
        <v/>
      </c>
    </row>
    <row r="108" spans="1:12" s="191" customFormat="1" ht="12.75" customHeight="1">
      <c r="A108" s="204" t="str">
        <f t="shared" ref="A108:J108" si="33">IF(A44="","",A44)</f>
        <v/>
      </c>
      <c r="B108" s="205" t="str">
        <f t="shared" si="33"/>
        <v>個</v>
      </c>
      <c r="C108" s="234" t="str">
        <f t="shared" si="33"/>
        <v/>
      </c>
      <c r="D108" s="139" t="str">
        <f t="shared" si="33"/>
        <v/>
      </c>
      <c r="E108" s="234">
        <f t="shared" si="33"/>
        <v>27</v>
      </c>
      <c r="F108" s="208" t="str">
        <f t="shared" si="33"/>
        <v/>
      </c>
      <c r="G108" s="209" t="str">
        <f t="shared" si="33"/>
        <v/>
      </c>
      <c r="H108" s="204" t="str">
        <f t="shared" si="33"/>
        <v/>
      </c>
      <c r="I108" s="315" t="str">
        <f t="shared" si="33"/>
        <v/>
      </c>
      <c r="J108" s="316" t="str">
        <f t="shared" si="33"/>
        <v/>
      </c>
    </row>
    <row r="109" spans="1:12" s="191" customFormat="1" ht="12.75" customHeight="1">
      <c r="A109" s="210" t="str">
        <f t="shared" ref="A109:J109" si="34">IF(A45="","",A45)</f>
        <v/>
      </c>
      <c r="B109" s="211" t="str">
        <f t="shared" si="34"/>
        <v>個</v>
      </c>
      <c r="C109" s="235" t="str">
        <f t="shared" si="34"/>
        <v/>
      </c>
      <c r="D109" s="140" t="str">
        <f t="shared" si="34"/>
        <v/>
      </c>
      <c r="E109" s="235">
        <f t="shared" si="34"/>
        <v>28</v>
      </c>
      <c r="F109" s="214" t="str">
        <f t="shared" si="34"/>
        <v/>
      </c>
      <c r="G109" s="215" t="str">
        <f t="shared" si="34"/>
        <v/>
      </c>
      <c r="H109" s="210" t="str">
        <f t="shared" si="34"/>
        <v/>
      </c>
      <c r="I109" s="326" t="str">
        <f t="shared" si="34"/>
        <v/>
      </c>
      <c r="J109" s="327" t="str">
        <f t="shared" si="34"/>
        <v/>
      </c>
    </row>
    <row r="110" spans="1:12" s="191" customFormat="1" ht="12.75" customHeight="1">
      <c r="A110" s="225" t="str">
        <f t="shared" ref="A110:J110" si="35">IF(A46="","",A46)</f>
        <v/>
      </c>
      <c r="B110" s="226" t="str">
        <f t="shared" si="35"/>
        <v>個</v>
      </c>
      <c r="C110" s="236" t="str">
        <f t="shared" si="35"/>
        <v/>
      </c>
      <c r="D110" s="141" t="str">
        <f t="shared" si="35"/>
        <v/>
      </c>
      <c r="E110" s="236">
        <f t="shared" si="35"/>
        <v>29</v>
      </c>
      <c r="F110" s="237" t="str">
        <f t="shared" si="35"/>
        <v/>
      </c>
      <c r="G110" s="230" t="str">
        <f t="shared" si="35"/>
        <v/>
      </c>
      <c r="H110" s="225" t="str">
        <f t="shared" si="35"/>
        <v/>
      </c>
      <c r="I110" s="328" t="str">
        <f t="shared" si="35"/>
        <v/>
      </c>
      <c r="J110" s="329" t="str">
        <f t="shared" si="35"/>
        <v/>
      </c>
    </row>
    <row r="111" spans="1:12" s="191" customFormat="1" ht="12.75" customHeight="1">
      <c r="A111" s="204" t="str">
        <f t="shared" ref="A111:J111" si="36">IF(A47="","",A47)</f>
        <v/>
      </c>
      <c r="B111" s="205" t="str">
        <f t="shared" si="36"/>
        <v>個</v>
      </c>
      <c r="C111" s="234" t="str">
        <f t="shared" si="36"/>
        <v/>
      </c>
      <c r="D111" s="139" t="str">
        <f t="shared" si="36"/>
        <v/>
      </c>
      <c r="E111" s="234">
        <f t="shared" si="36"/>
        <v>30</v>
      </c>
      <c r="F111" s="208" t="str">
        <f t="shared" si="36"/>
        <v/>
      </c>
      <c r="G111" s="209" t="str">
        <f t="shared" si="36"/>
        <v/>
      </c>
      <c r="H111" s="204" t="str">
        <f t="shared" si="36"/>
        <v/>
      </c>
      <c r="I111" s="315" t="str">
        <f t="shared" si="36"/>
        <v/>
      </c>
      <c r="J111" s="316" t="str">
        <f t="shared" si="36"/>
        <v/>
      </c>
    </row>
    <row r="112" spans="1:12" s="191" customFormat="1" ht="12.75" customHeight="1">
      <c r="A112" s="210" t="str">
        <f t="shared" ref="A112:J112" si="37">IF(A48="","",A48)</f>
        <v/>
      </c>
      <c r="B112" s="211" t="str">
        <f t="shared" si="37"/>
        <v>個</v>
      </c>
      <c r="C112" s="235" t="str">
        <f t="shared" si="37"/>
        <v/>
      </c>
      <c r="D112" s="140" t="str">
        <f t="shared" si="37"/>
        <v/>
      </c>
      <c r="E112" s="235">
        <f t="shared" si="37"/>
        <v>31</v>
      </c>
      <c r="F112" s="214" t="str">
        <f t="shared" si="37"/>
        <v/>
      </c>
      <c r="G112" s="215" t="str">
        <f t="shared" si="37"/>
        <v/>
      </c>
      <c r="H112" s="210" t="str">
        <f t="shared" si="37"/>
        <v/>
      </c>
      <c r="I112" s="326" t="str">
        <f t="shared" si="37"/>
        <v/>
      </c>
      <c r="J112" s="327" t="str">
        <f t="shared" si="37"/>
        <v/>
      </c>
    </row>
    <row r="113" spans="1:11" s="191" customFormat="1" ht="12.75" customHeight="1">
      <c r="A113" s="225" t="str">
        <f t="shared" ref="A113:J113" si="38">IF(A49="","",A49)</f>
        <v/>
      </c>
      <c r="B113" s="226" t="str">
        <f t="shared" si="38"/>
        <v>個</v>
      </c>
      <c r="C113" s="236" t="str">
        <f t="shared" si="38"/>
        <v/>
      </c>
      <c r="D113" s="141" t="str">
        <f t="shared" si="38"/>
        <v/>
      </c>
      <c r="E113" s="236">
        <f t="shared" si="38"/>
        <v>32</v>
      </c>
      <c r="F113" s="237" t="str">
        <f t="shared" si="38"/>
        <v/>
      </c>
      <c r="G113" s="230" t="str">
        <f t="shared" si="38"/>
        <v/>
      </c>
      <c r="H113" s="225" t="str">
        <f t="shared" si="38"/>
        <v/>
      </c>
      <c r="I113" s="328" t="str">
        <f t="shared" si="38"/>
        <v/>
      </c>
      <c r="J113" s="329" t="str">
        <f t="shared" si="38"/>
        <v/>
      </c>
    </row>
    <row r="114" spans="1:11" s="191" customFormat="1" ht="12.75" customHeight="1">
      <c r="A114" s="204" t="str">
        <f t="shared" ref="A114:J114" si="39">IF(A50="","",A50)</f>
        <v/>
      </c>
      <c r="B114" s="205" t="str">
        <f t="shared" si="39"/>
        <v>個</v>
      </c>
      <c r="C114" s="234" t="str">
        <f t="shared" si="39"/>
        <v/>
      </c>
      <c r="D114" s="139" t="str">
        <f t="shared" si="39"/>
        <v/>
      </c>
      <c r="E114" s="234">
        <f t="shared" si="39"/>
        <v>33</v>
      </c>
      <c r="F114" s="208" t="str">
        <f t="shared" si="39"/>
        <v/>
      </c>
      <c r="G114" s="209" t="str">
        <f t="shared" si="39"/>
        <v/>
      </c>
      <c r="H114" s="204" t="str">
        <f t="shared" si="39"/>
        <v/>
      </c>
      <c r="I114" s="315" t="str">
        <f t="shared" si="39"/>
        <v/>
      </c>
      <c r="J114" s="316" t="str">
        <f t="shared" si="39"/>
        <v/>
      </c>
    </row>
    <row r="115" spans="1:11" s="191" customFormat="1" ht="12.75" customHeight="1">
      <c r="A115" s="210" t="str">
        <f t="shared" ref="A115:J115" si="40">IF(A51="","",A51)</f>
        <v/>
      </c>
      <c r="B115" s="211" t="str">
        <f t="shared" si="40"/>
        <v>個</v>
      </c>
      <c r="C115" s="235" t="str">
        <f t="shared" si="40"/>
        <v/>
      </c>
      <c r="D115" s="140" t="str">
        <f t="shared" si="40"/>
        <v/>
      </c>
      <c r="E115" s="235">
        <f t="shared" si="40"/>
        <v>34</v>
      </c>
      <c r="F115" s="214" t="str">
        <f t="shared" si="40"/>
        <v/>
      </c>
      <c r="G115" s="215" t="str">
        <f t="shared" si="40"/>
        <v/>
      </c>
      <c r="H115" s="210" t="str">
        <f t="shared" si="40"/>
        <v/>
      </c>
      <c r="I115" s="326" t="str">
        <f t="shared" si="40"/>
        <v/>
      </c>
      <c r="J115" s="327" t="str">
        <f t="shared" si="40"/>
        <v/>
      </c>
    </row>
    <row r="116" spans="1:11" s="191" customFormat="1" ht="12.75" customHeight="1">
      <c r="A116" s="225" t="str">
        <f t="shared" ref="A116:J116" si="41">IF(A52="","",A52)</f>
        <v/>
      </c>
      <c r="B116" s="226" t="str">
        <f t="shared" si="41"/>
        <v>個</v>
      </c>
      <c r="C116" s="236" t="str">
        <f t="shared" si="41"/>
        <v/>
      </c>
      <c r="D116" s="141" t="str">
        <f t="shared" si="41"/>
        <v/>
      </c>
      <c r="E116" s="236">
        <f t="shared" si="41"/>
        <v>35</v>
      </c>
      <c r="F116" s="237" t="str">
        <f t="shared" si="41"/>
        <v/>
      </c>
      <c r="G116" s="230" t="str">
        <f t="shared" si="41"/>
        <v/>
      </c>
      <c r="H116" s="225" t="str">
        <f t="shared" si="41"/>
        <v/>
      </c>
      <c r="I116" s="328" t="str">
        <f t="shared" si="41"/>
        <v/>
      </c>
      <c r="J116" s="329" t="str">
        <f t="shared" si="41"/>
        <v/>
      </c>
    </row>
    <row r="117" spans="1:11" s="191" customFormat="1" ht="12.75" customHeight="1">
      <c r="A117" s="204" t="str">
        <f t="shared" ref="A117:J117" si="42">IF(A53="","",A53)</f>
        <v/>
      </c>
      <c r="B117" s="205" t="str">
        <f t="shared" si="42"/>
        <v>個</v>
      </c>
      <c r="C117" s="234" t="str">
        <f t="shared" si="42"/>
        <v/>
      </c>
      <c r="D117" s="139" t="str">
        <f t="shared" si="42"/>
        <v/>
      </c>
      <c r="E117" s="234">
        <f t="shared" si="42"/>
        <v>36</v>
      </c>
      <c r="F117" s="208" t="str">
        <f t="shared" si="42"/>
        <v/>
      </c>
      <c r="G117" s="209" t="str">
        <f t="shared" si="42"/>
        <v/>
      </c>
      <c r="H117" s="204" t="str">
        <f t="shared" si="42"/>
        <v/>
      </c>
      <c r="I117" s="315" t="str">
        <f t="shared" si="42"/>
        <v/>
      </c>
      <c r="J117" s="316" t="str">
        <f t="shared" si="42"/>
        <v/>
      </c>
    </row>
    <row r="118" spans="1:11" s="191" customFormat="1" ht="12.75" customHeight="1">
      <c r="A118" s="210" t="str">
        <f t="shared" ref="A118:J118" si="43">IF(A54="","",A54)</f>
        <v/>
      </c>
      <c r="B118" s="211" t="str">
        <f t="shared" si="43"/>
        <v>個</v>
      </c>
      <c r="C118" s="235" t="str">
        <f t="shared" si="43"/>
        <v/>
      </c>
      <c r="D118" s="140" t="str">
        <f t="shared" si="43"/>
        <v/>
      </c>
      <c r="E118" s="235">
        <f t="shared" si="43"/>
        <v>37</v>
      </c>
      <c r="F118" s="214" t="str">
        <f t="shared" si="43"/>
        <v/>
      </c>
      <c r="G118" s="215" t="str">
        <f t="shared" si="43"/>
        <v/>
      </c>
      <c r="H118" s="210" t="str">
        <f t="shared" si="43"/>
        <v/>
      </c>
      <c r="I118" s="326" t="str">
        <f t="shared" si="43"/>
        <v/>
      </c>
      <c r="J118" s="327" t="str">
        <f t="shared" si="43"/>
        <v/>
      </c>
    </row>
    <row r="119" spans="1:11" s="191" customFormat="1" ht="12.75" customHeight="1">
      <c r="A119" s="225" t="str">
        <f t="shared" ref="A119:J119" si="44">IF(A55="","",A55)</f>
        <v/>
      </c>
      <c r="B119" s="226" t="str">
        <f t="shared" si="44"/>
        <v>個</v>
      </c>
      <c r="C119" s="236" t="str">
        <f t="shared" si="44"/>
        <v/>
      </c>
      <c r="D119" s="141" t="str">
        <f t="shared" si="44"/>
        <v/>
      </c>
      <c r="E119" s="236">
        <f t="shared" si="44"/>
        <v>38</v>
      </c>
      <c r="F119" s="237" t="str">
        <f t="shared" si="44"/>
        <v/>
      </c>
      <c r="G119" s="230" t="str">
        <f t="shared" si="44"/>
        <v/>
      </c>
      <c r="H119" s="225" t="str">
        <f t="shared" si="44"/>
        <v/>
      </c>
      <c r="I119" s="328" t="str">
        <f t="shared" si="44"/>
        <v/>
      </c>
      <c r="J119" s="329" t="str">
        <f t="shared" si="44"/>
        <v/>
      </c>
    </row>
    <row r="120" spans="1:11" s="191" customFormat="1" ht="12.75" customHeight="1">
      <c r="H120" s="192"/>
    </row>
    <row r="121" spans="1:11" s="238" customFormat="1" ht="12.75" customHeight="1">
      <c r="A121" s="385" t="s">
        <v>406</v>
      </c>
      <c r="B121" s="385"/>
      <c r="C121" s="385"/>
      <c r="D121" s="385"/>
      <c r="E121" s="386">
        <f>E57</f>
        <v>43734</v>
      </c>
      <c r="F121" s="387"/>
    </row>
    <row r="122" spans="1:11" s="238" customFormat="1" ht="12.75" customHeight="1">
      <c r="A122" s="348"/>
      <c r="B122" s="348"/>
      <c r="C122" s="348"/>
      <c r="D122" s="348"/>
      <c r="E122" s="239"/>
      <c r="F122" s="239"/>
    </row>
    <row r="123" spans="1:11" s="238" customFormat="1" ht="12.75" customHeight="1">
      <c r="A123" s="348"/>
      <c r="B123" s="348"/>
      <c r="C123" s="348"/>
      <c r="D123" s="348"/>
    </row>
    <row r="124" spans="1:11" s="238" customFormat="1" ht="12.75" customHeight="1">
      <c r="A124" s="239" t="s">
        <v>507</v>
      </c>
      <c r="B124" s="383" t="str">
        <f>B60</f>
        <v/>
      </c>
      <c r="C124" s="383"/>
      <c r="D124" s="383"/>
      <c r="E124" s="239" t="s">
        <v>199</v>
      </c>
      <c r="F124" s="249" t="str">
        <f>F60</f>
        <v xml:space="preserve">○　○　○　○　 </v>
      </c>
      <c r="G124" s="347" t="s">
        <v>511</v>
      </c>
    </row>
    <row r="125" spans="1:11" s="238" customFormat="1" ht="12.75" customHeight="1">
      <c r="H125" s="240"/>
    </row>
    <row r="126" spans="1:11" s="238" customFormat="1" ht="12.75" customHeight="1">
      <c r="H126" s="240"/>
    </row>
    <row r="127" spans="1:11" s="238" customFormat="1" ht="12.75" customHeight="1">
      <c r="A127" s="239" t="s">
        <v>510</v>
      </c>
      <c r="B127" s="383" t="str">
        <f>B63</f>
        <v/>
      </c>
      <c r="C127" s="383"/>
      <c r="D127" s="383"/>
      <c r="E127" s="239" t="s">
        <v>509</v>
      </c>
      <c r="F127" s="249" t="str">
        <f>F63</f>
        <v xml:space="preserve">○　○　○　○　 </v>
      </c>
      <c r="G127" s="347" t="s">
        <v>511</v>
      </c>
      <c r="H127" s="240"/>
      <c r="K127" s="250"/>
    </row>
    <row r="128" spans="1:11" s="191" customFormat="1" ht="12.75" customHeight="1">
      <c r="H128" s="192"/>
    </row>
  </sheetData>
  <sheetProtection password="CC71" sheet="1" objects="1" scenarios="1"/>
  <mergeCells count="45">
    <mergeCell ref="A2:A4"/>
    <mergeCell ref="B88:G88"/>
    <mergeCell ref="I88:J88"/>
    <mergeCell ref="A121:D121"/>
    <mergeCell ref="E121:F121"/>
    <mergeCell ref="C66:G66"/>
    <mergeCell ref="I75:J75"/>
    <mergeCell ref="A57:D57"/>
    <mergeCell ref="E57:F57"/>
    <mergeCell ref="B60:D60"/>
    <mergeCell ref="B63:D63"/>
    <mergeCell ref="B9:C9"/>
    <mergeCell ref="D9:G9"/>
    <mergeCell ref="B11:G11"/>
    <mergeCell ref="I11:J11"/>
    <mergeCell ref="B24:G24"/>
    <mergeCell ref="B124:D124"/>
    <mergeCell ref="B127:D127"/>
    <mergeCell ref="D68:F68"/>
    <mergeCell ref="B71:C71"/>
    <mergeCell ref="D71:E71"/>
    <mergeCell ref="F71:G71"/>
    <mergeCell ref="B72:C72"/>
    <mergeCell ref="D72:E72"/>
    <mergeCell ref="F72:G72"/>
    <mergeCell ref="B73:C73"/>
    <mergeCell ref="D73:G73"/>
    <mergeCell ref="B75:G75"/>
    <mergeCell ref="B70:C70"/>
    <mergeCell ref="D70:G70"/>
    <mergeCell ref="B68:C68"/>
    <mergeCell ref="I24:J24"/>
    <mergeCell ref="B7:C7"/>
    <mergeCell ref="D7:E7"/>
    <mergeCell ref="F7:G7"/>
    <mergeCell ref="B8:C8"/>
    <mergeCell ref="D8:E8"/>
    <mergeCell ref="F8:G8"/>
    <mergeCell ref="B6:C6"/>
    <mergeCell ref="D6:G6"/>
    <mergeCell ref="C2:G2"/>
    <mergeCell ref="K2:K3"/>
    <mergeCell ref="L2:L3"/>
    <mergeCell ref="B4:C4"/>
    <mergeCell ref="D4:F4"/>
  </mergeCells>
  <phoneticPr fontId="2"/>
  <dataValidations count="1">
    <dataValidation type="list" allowBlank="1" showInputMessage="1" showErrorMessage="1" sqref="I13:I20 I26:I55">
      <formula1>"なし,あり→"</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102"/>
  <sheetViews>
    <sheetView zoomScaleNormal="100" workbookViewId="0"/>
  </sheetViews>
  <sheetFormatPr defaultColWidth="9" defaultRowHeight="12"/>
  <cols>
    <col min="1" max="1" width="2.625" style="16" bestFit="1" customWidth="1"/>
    <col min="2" max="2" width="8.5" style="8" bestFit="1" customWidth="1"/>
    <col min="3" max="3" width="6.75" style="9" bestFit="1" customWidth="1"/>
    <col min="4" max="4" width="5" style="9" bestFit="1" customWidth="1"/>
    <col min="5" max="5" width="1.625" style="4" customWidth="1"/>
    <col min="6" max="6" width="3.25" style="4" bestFit="1" customWidth="1"/>
    <col min="7" max="7" width="8.5" style="8" bestFit="1" customWidth="1"/>
    <col min="8" max="8" width="6.75" style="9" bestFit="1" customWidth="1"/>
    <col min="9" max="9" width="33.625" style="4" bestFit="1" customWidth="1"/>
    <col min="10" max="10" width="14.125" style="4" bestFit="1" customWidth="1"/>
    <col min="11" max="16384" width="9" style="4"/>
  </cols>
  <sheetData>
    <row r="1" spans="1:10">
      <c r="B1" s="5" t="s">
        <v>0</v>
      </c>
      <c r="C1" s="6" t="s">
        <v>1</v>
      </c>
      <c r="D1" s="6"/>
      <c r="G1" s="5" t="s">
        <v>0</v>
      </c>
      <c r="H1" s="6" t="s">
        <v>1</v>
      </c>
    </row>
    <row r="2" spans="1:10">
      <c r="A2" s="360" t="s">
        <v>63</v>
      </c>
      <c r="B2" s="32">
        <v>1</v>
      </c>
      <c r="C2" s="32" t="s">
        <v>64</v>
      </c>
      <c r="D2" s="32" t="str">
        <f>IF(C2="","",$A$2)</f>
        <v>中毛</v>
      </c>
      <c r="F2" s="4">
        <v>1</v>
      </c>
      <c r="G2" s="7">
        <v>1</v>
      </c>
      <c r="H2" s="7" t="s">
        <v>64</v>
      </c>
      <c r="I2" s="4" t="s">
        <v>467</v>
      </c>
      <c r="J2" s="4" t="s">
        <v>416</v>
      </c>
    </row>
    <row r="3" spans="1:10">
      <c r="A3" s="360"/>
      <c r="B3" s="33">
        <v>2</v>
      </c>
      <c r="C3" s="33" t="s">
        <v>65</v>
      </c>
      <c r="D3" s="33" t="str">
        <f t="shared" ref="D3:D21" si="0">IF(C3="","",$A$2)</f>
        <v>中毛</v>
      </c>
      <c r="F3" s="4">
        <v>2</v>
      </c>
      <c r="G3" s="7">
        <v>2</v>
      </c>
      <c r="H3" s="7" t="s">
        <v>65</v>
      </c>
      <c r="I3" s="4" t="s">
        <v>468</v>
      </c>
      <c r="J3" s="4" t="s">
        <v>417</v>
      </c>
    </row>
    <row r="4" spans="1:10">
      <c r="A4" s="360"/>
      <c r="B4" s="33">
        <v>3</v>
      </c>
      <c r="C4" s="33" t="s">
        <v>66</v>
      </c>
      <c r="D4" s="33" t="str">
        <f t="shared" si="0"/>
        <v>中毛</v>
      </c>
      <c r="F4" s="4">
        <v>3</v>
      </c>
      <c r="G4" s="7">
        <v>3</v>
      </c>
      <c r="H4" s="7" t="s">
        <v>66</v>
      </c>
      <c r="I4" s="4" t="s">
        <v>469</v>
      </c>
      <c r="J4" s="4" t="s">
        <v>418</v>
      </c>
    </row>
    <row r="5" spans="1:10">
      <c r="A5" s="360"/>
      <c r="B5" s="33">
        <v>4</v>
      </c>
      <c r="C5" s="33" t="s">
        <v>67</v>
      </c>
      <c r="D5" s="33" t="str">
        <f t="shared" si="0"/>
        <v>中毛</v>
      </c>
      <c r="F5" s="4">
        <v>4</v>
      </c>
      <c r="G5" s="7">
        <v>4</v>
      </c>
      <c r="H5" s="7" t="s">
        <v>67</v>
      </c>
      <c r="I5" s="4" t="s">
        <v>470</v>
      </c>
      <c r="J5" s="4" t="s">
        <v>419</v>
      </c>
    </row>
    <row r="6" spans="1:10">
      <c r="A6" s="360"/>
      <c r="B6" s="33">
        <v>5</v>
      </c>
      <c r="C6" s="33" t="s">
        <v>68</v>
      </c>
      <c r="D6" s="33" t="str">
        <f t="shared" si="0"/>
        <v>中毛</v>
      </c>
      <c r="F6" s="4">
        <v>5</v>
      </c>
      <c r="G6" s="7">
        <v>5</v>
      </c>
      <c r="H6" s="7" t="s">
        <v>68</v>
      </c>
      <c r="I6" s="4" t="s">
        <v>471</v>
      </c>
      <c r="J6" s="4" t="s">
        <v>420</v>
      </c>
    </row>
    <row r="7" spans="1:10">
      <c r="A7" s="360"/>
      <c r="B7" s="33">
        <v>6</v>
      </c>
      <c r="C7" s="33" t="s">
        <v>69</v>
      </c>
      <c r="D7" s="33" t="str">
        <f t="shared" si="0"/>
        <v>中毛</v>
      </c>
      <c r="F7" s="4">
        <v>6</v>
      </c>
      <c r="G7" s="7">
        <v>6</v>
      </c>
      <c r="H7" s="7" t="s">
        <v>69</v>
      </c>
      <c r="I7" s="4" t="s">
        <v>457</v>
      </c>
      <c r="J7" s="4" t="s">
        <v>421</v>
      </c>
    </row>
    <row r="8" spans="1:10">
      <c r="A8" s="360"/>
      <c r="B8" s="33">
        <v>7</v>
      </c>
      <c r="C8" s="33" t="s">
        <v>70</v>
      </c>
      <c r="D8" s="33" t="str">
        <f t="shared" si="0"/>
        <v>中毛</v>
      </c>
      <c r="F8" s="4">
        <v>7</v>
      </c>
      <c r="G8" s="7">
        <v>7</v>
      </c>
      <c r="H8" s="7" t="s">
        <v>70</v>
      </c>
      <c r="I8" s="4" t="s">
        <v>472</v>
      </c>
      <c r="J8" s="4" t="s">
        <v>422</v>
      </c>
    </row>
    <row r="9" spans="1:10">
      <c r="A9" s="360"/>
      <c r="B9" s="33">
        <v>8</v>
      </c>
      <c r="C9" s="33" t="s">
        <v>71</v>
      </c>
      <c r="D9" s="33" t="str">
        <f t="shared" si="0"/>
        <v>中毛</v>
      </c>
      <c r="F9" s="4">
        <v>8</v>
      </c>
      <c r="G9" s="7">
        <v>8</v>
      </c>
      <c r="H9" s="7" t="s">
        <v>71</v>
      </c>
      <c r="I9" s="4" t="s">
        <v>458</v>
      </c>
      <c r="J9" s="4" t="s">
        <v>423</v>
      </c>
    </row>
    <row r="10" spans="1:10">
      <c r="A10" s="360"/>
      <c r="B10" s="33">
        <v>9</v>
      </c>
      <c r="C10" s="33" t="s">
        <v>72</v>
      </c>
      <c r="D10" s="33" t="str">
        <f t="shared" si="0"/>
        <v>中毛</v>
      </c>
      <c r="F10" s="4">
        <v>9</v>
      </c>
      <c r="G10" s="7">
        <v>9</v>
      </c>
      <c r="H10" s="7" t="s">
        <v>72</v>
      </c>
      <c r="I10" s="4" t="s">
        <v>459</v>
      </c>
      <c r="J10" s="4" t="s">
        <v>424</v>
      </c>
    </row>
    <row r="11" spans="1:10">
      <c r="A11" s="360"/>
      <c r="B11" s="33">
        <v>10</v>
      </c>
      <c r="C11" s="33" t="s">
        <v>73</v>
      </c>
      <c r="D11" s="33" t="str">
        <f t="shared" si="0"/>
        <v>中毛</v>
      </c>
      <c r="F11" s="4">
        <v>10</v>
      </c>
      <c r="G11" s="7">
        <v>10</v>
      </c>
      <c r="H11" s="7" t="s">
        <v>73</v>
      </c>
      <c r="I11" s="4" t="s">
        <v>473</v>
      </c>
      <c r="J11" s="4" t="s">
        <v>425</v>
      </c>
    </row>
    <row r="12" spans="1:10">
      <c r="A12" s="360"/>
      <c r="B12" s="33">
        <v>11</v>
      </c>
      <c r="C12" s="33" t="s">
        <v>74</v>
      </c>
      <c r="D12" s="33" t="str">
        <f t="shared" si="0"/>
        <v>中毛</v>
      </c>
      <c r="F12" s="4">
        <v>11</v>
      </c>
      <c r="G12" s="7">
        <v>11</v>
      </c>
      <c r="H12" s="7" t="s">
        <v>74</v>
      </c>
      <c r="I12" s="4" t="s">
        <v>474</v>
      </c>
      <c r="J12" s="4" t="s">
        <v>407</v>
      </c>
    </row>
    <row r="13" spans="1:10">
      <c r="A13" s="360"/>
      <c r="B13" s="33">
        <v>12</v>
      </c>
      <c r="C13" s="33" t="s">
        <v>75</v>
      </c>
      <c r="D13" s="33" t="str">
        <f t="shared" si="0"/>
        <v>中毛</v>
      </c>
      <c r="F13" s="4">
        <v>12</v>
      </c>
      <c r="G13" s="7">
        <v>12</v>
      </c>
      <c r="H13" s="7" t="s">
        <v>75</v>
      </c>
      <c r="I13" s="4" t="s">
        <v>475</v>
      </c>
      <c r="J13" s="4" t="s">
        <v>426</v>
      </c>
    </row>
    <row r="14" spans="1:10">
      <c r="A14" s="360"/>
      <c r="B14" s="33">
        <v>13</v>
      </c>
      <c r="C14" s="33" t="s">
        <v>76</v>
      </c>
      <c r="D14" s="33" t="str">
        <f t="shared" si="0"/>
        <v>中毛</v>
      </c>
      <c r="F14" s="4">
        <v>13</v>
      </c>
      <c r="G14" s="7">
        <v>13</v>
      </c>
      <c r="H14" s="7" t="s">
        <v>76</v>
      </c>
      <c r="I14" s="4" t="s">
        <v>476</v>
      </c>
      <c r="J14" s="4" t="s">
        <v>427</v>
      </c>
    </row>
    <row r="15" spans="1:10">
      <c r="A15" s="360"/>
      <c r="B15" s="33">
        <v>14</v>
      </c>
      <c r="C15" s="33" t="s">
        <v>77</v>
      </c>
      <c r="D15" s="33" t="str">
        <f t="shared" si="0"/>
        <v>中毛</v>
      </c>
      <c r="F15" s="4">
        <v>14</v>
      </c>
      <c r="G15" s="7">
        <v>14</v>
      </c>
      <c r="H15" s="7" t="s">
        <v>77</v>
      </c>
      <c r="I15" s="4" t="s">
        <v>460</v>
      </c>
      <c r="J15" s="4" t="s">
        <v>408</v>
      </c>
    </row>
    <row r="16" spans="1:10">
      <c r="A16" s="360"/>
      <c r="B16" s="33">
        <v>15</v>
      </c>
      <c r="C16" s="33" t="s">
        <v>78</v>
      </c>
      <c r="D16" s="33" t="str">
        <f t="shared" si="0"/>
        <v>中毛</v>
      </c>
      <c r="F16" s="4">
        <v>15</v>
      </c>
      <c r="G16" s="7">
        <v>15</v>
      </c>
      <c r="H16" s="7" t="s">
        <v>78</v>
      </c>
      <c r="I16" s="4" t="s">
        <v>477</v>
      </c>
      <c r="J16" s="4" t="s">
        <v>409</v>
      </c>
    </row>
    <row r="17" spans="1:10">
      <c r="A17" s="360"/>
      <c r="B17" s="33">
        <v>16</v>
      </c>
      <c r="C17" s="33" t="s">
        <v>79</v>
      </c>
      <c r="D17" s="33" t="str">
        <f t="shared" si="0"/>
        <v>中毛</v>
      </c>
      <c r="F17" s="4">
        <v>16</v>
      </c>
      <c r="G17" s="7">
        <v>16</v>
      </c>
      <c r="H17" s="7" t="s">
        <v>79</v>
      </c>
      <c r="I17" s="4" t="s">
        <v>478</v>
      </c>
      <c r="J17" s="4" t="s">
        <v>428</v>
      </c>
    </row>
    <row r="18" spans="1:10">
      <c r="A18" s="360"/>
      <c r="B18" s="33">
        <v>17</v>
      </c>
      <c r="C18" s="33" t="s">
        <v>80</v>
      </c>
      <c r="D18" s="33" t="str">
        <f t="shared" si="0"/>
        <v>中毛</v>
      </c>
      <c r="F18" s="4">
        <v>17</v>
      </c>
      <c r="G18" s="7">
        <v>17</v>
      </c>
      <c r="H18" s="7" t="s">
        <v>80</v>
      </c>
      <c r="I18" s="4" t="s">
        <v>479</v>
      </c>
      <c r="J18" s="4" t="s">
        <v>410</v>
      </c>
    </row>
    <row r="19" spans="1:10">
      <c r="A19" s="360"/>
      <c r="B19" s="33">
        <v>18</v>
      </c>
      <c r="C19" s="33"/>
      <c r="D19" s="33" t="str">
        <f t="shared" si="0"/>
        <v/>
      </c>
      <c r="F19" s="4">
        <v>18</v>
      </c>
      <c r="G19" s="7">
        <v>21</v>
      </c>
      <c r="H19" s="7" t="s">
        <v>81</v>
      </c>
      <c r="I19" s="4" t="s">
        <v>480</v>
      </c>
      <c r="J19" s="4" t="s">
        <v>429</v>
      </c>
    </row>
    <row r="20" spans="1:10">
      <c r="A20" s="360"/>
      <c r="B20" s="33">
        <v>19</v>
      </c>
      <c r="C20" s="33"/>
      <c r="D20" s="33" t="str">
        <f t="shared" si="0"/>
        <v/>
      </c>
      <c r="F20" s="4">
        <v>19</v>
      </c>
      <c r="G20" s="7">
        <v>22</v>
      </c>
      <c r="H20" s="7" t="s">
        <v>82</v>
      </c>
      <c r="I20" s="4" t="s">
        <v>481</v>
      </c>
      <c r="J20" s="4" t="s">
        <v>430</v>
      </c>
    </row>
    <row r="21" spans="1:10">
      <c r="A21" s="360"/>
      <c r="B21" s="34">
        <v>20</v>
      </c>
      <c r="C21" s="34"/>
      <c r="D21" s="34" t="str">
        <f t="shared" si="0"/>
        <v/>
      </c>
      <c r="F21" s="4">
        <v>20</v>
      </c>
      <c r="G21" s="7">
        <v>23</v>
      </c>
      <c r="H21" s="7" t="s">
        <v>83</v>
      </c>
      <c r="I21" s="4" t="s">
        <v>461</v>
      </c>
      <c r="J21" s="4" t="s">
        <v>431</v>
      </c>
    </row>
    <row r="22" spans="1:10">
      <c r="A22" s="360" t="s">
        <v>84</v>
      </c>
      <c r="B22" s="32">
        <v>21</v>
      </c>
      <c r="C22" s="32" t="s">
        <v>81</v>
      </c>
      <c r="D22" s="32" t="str">
        <f>IF(C22="","",$A$22)</f>
        <v>東毛</v>
      </c>
      <c r="F22" s="4">
        <v>21</v>
      </c>
      <c r="G22" s="7">
        <v>24</v>
      </c>
      <c r="H22" s="7" t="s">
        <v>85</v>
      </c>
      <c r="I22" s="4" t="s">
        <v>482</v>
      </c>
      <c r="J22" s="4" t="s">
        <v>432</v>
      </c>
    </row>
    <row r="23" spans="1:10">
      <c r="A23" s="360"/>
      <c r="B23" s="33">
        <v>22</v>
      </c>
      <c r="C23" s="33" t="s">
        <v>82</v>
      </c>
      <c r="D23" s="33" t="str">
        <f t="shared" ref="D23:D41" si="1">IF(C23="","",$A$22)</f>
        <v>東毛</v>
      </c>
      <c r="F23" s="4">
        <v>22</v>
      </c>
      <c r="G23" s="7">
        <v>25</v>
      </c>
      <c r="H23" s="7" t="s">
        <v>86</v>
      </c>
      <c r="I23" s="4" t="s">
        <v>483</v>
      </c>
      <c r="J23" s="4" t="s">
        <v>433</v>
      </c>
    </row>
    <row r="24" spans="1:10">
      <c r="A24" s="360"/>
      <c r="B24" s="33">
        <v>23</v>
      </c>
      <c r="C24" s="33" t="s">
        <v>83</v>
      </c>
      <c r="D24" s="33" t="str">
        <f t="shared" si="1"/>
        <v>東毛</v>
      </c>
      <c r="F24" s="4">
        <v>23</v>
      </c>
      <c r="G24" s="7">
        <v>26</v>
      </c>
      <c r="H24" s="7" t="s">
        <v>87</v>
      </c>
      <c r="I24" s="4" t="s">
        <v>484</v>
      </c>
      <c r="J24" s="4" t="s">
        <v>434</v>
      </c>
    </row>
    <row r="25" spans="1:10">
      <c r="A25" s="360"/>
      <c r="B25" s="33">
        <v>24</v>
      </c>
      <c r="C25" s="33" t="s">
        <v>85</v>
      </c>
      <c r="D25" s="33" t="str">
        <f t="shared" si="1"/>
        <v>東毛</v>
      </c>
      <c r="F25" s="4">
        <v>24</v>
      </c>
      <c r="G25" s="7">
        <v>27</v>
      </c>
      <c r="H25" s="7" t="s">
        <v>88</v>
      </c>
      <c r="I25" s="4" t="s">
        <v>485</v>
      </c>
      <c r="J25" s="4" t="s">
        <v>435</v>
      </c>
    </row>
    <row r="26" spans="1:10">
      <c r="A26" s="360"/>
      <c r="B26" s="33">
        <v>25</v>
      </c>
      <c r="C26" s="33" t="s">
        <v>86</v>
      </c>
      <c r="D26" s="33" t="str">
        <f t="shared" si="1"/>
        <v>東毛</v>
      </c>
      <c r="F26" s="4">
        <v>25</v>
      </c>
      <c r="G26" s="7">
        <v>28</v>
      </c>
      <c r="H26" s="7" t="s">
        <v>191</v>
      </c>
      <c r="I26" s="4" t="s">
        <v>462</v>
      </c>
      <c r="J26" s="4" t="s">
        <v>436</v>
      </c>
    </row>
    <row r="27" spans="1:10">
      <c r="A27" s="360"/>
      <c r="B27" s="33">
        <v>26</v>
      </c>
      <c r="C27" s="33" t="s">
        <v>87</v>
      </c>
      <c r="D27" s="33" t="str">
        <f t="shared" si="1"/>
        <v>東毛</v>
      </c>
      <c r="F27" s="4">
        <v>26</v>
      </c>
      <c r="G27" s="7">
        <v>29</v>
      </c>
      <c r="H27" s="7" t="s">
        <v>89</v>
      </c>
      <c r="I27" s="4" t="s">
        <v>463</v>
      </c>
      <c r="J27" s="4" t="s">
        <v>437</v>
      </c>
    </row>
    <row r="28" spans="1:10">
      <c r="A28" s="360"/>
      <c r="B28" s="33">
        <v>27</v>
      </c>
      <c r="C28" s="33" t="s">
        <v>88</v>
      </c>
      <c r="D28" s="33" t="str">
        <f t="shared" si="1"/>
        <v>東毛</v>
      </c>
      <c r="F28" s="4">
        <v>27</v>
      </c>
      <c r="G28" s="7">
        <v>30</v>
      </c>
      <c r="H28" s="7" t="s">
        <v>90</v>
      </c>
      <c r="I28" s="4" t="s">
        <v>486</v>
      </c>
      <c r="J28" s="4" t="s">
        <v>438</v>
      </c>
    </row>
    <row r="29" spans="1:10">
      <c r="A29" s="360"/>
      <c r="B29" s="33">
        <v>28</v>
      </c>
      <c r="C29" s="33" t="s">
        <v>191</v>
      </c>
      <c r="D29" s="33" t="str">
        <f t="shared" si="1"/>
        <v>東毛</v>
      </c>
      <c r="F29" s="4">
        <v>28</v>
      </c>
      <c r="G29" s="7">
        <v>31</v>
      </c>
      <c r="H29" s="7" t="s">
        <v>91</v>
      </c>
      <c r="I29" s="4" t="s">
        <v>487</v>
      </c>
      <c r="J29" s="4" t="s">
        <v>411</v>
      </c>
    </row>
    <row r="30" spans="1:10">
      <c r="A30" s="360"/>
      <c r="B30" s="33">
        <v>29</v>
      </c>
      <c r="C30" s="33" t="s">
        <v>89</v>
      </c>
      <c r="D30" s="33" t="str">
        <f t="shared" si="1"/>
        <v>東毛</v>
      </c>
      <c r="F30" s="4">
        <v>29</v>
      </c>
      <c r="G30" s="7">
        <v>32</v>
      </c>
      <c r="H30" s="7" t="s">
        <v>208</v>
      </c>
      <c r="I30" s="4" t="s">
        <v>466</v>
      </c>
      <c r="J30" s="4" t="s">
        <v>412</v>
      </c>
    </row>
    <row r="31" spans="1:10">
      <c r="A31" s="360"/>
      <c r="B31" s="33">
        <v>30</v>
      </c>
      <c r="C31" s="33" t="s">
        <v>90</v>
      </c>
      <c r="D31" s="33" t="str">
        <f t="shared" si="1"/>
        <v>東毛</v>
      </c>
      <c r="F31" s="4">
        <v>30</v>
      </c>
      <c r="G31" s="7">
        <v>41</v>
      </c>
      <c r="H31" s="7" t="s">
        <v>92</v>
      </c>
      <c r="I31" s="4" t="s">
        <v>488</v>
      </c>
      <c r="J31" s="4" t="s">
        <v>439</v>
      </c>
    </row>
    <row r="32" spans="1:10">
      <c r="A32" s="360"/>
      <c r="B32" s="33">
        <v>31</v>
      </c>
      <c r="C32" s="33" t="s">
        <v>91</v>
      </c>
      <c r="D32" s="33" t="str">
        <f t="shared" si="1"/>
        <v>東毛</v>
      </c>
      <c r="F32" s="4">
        <v>31</v>
      </c>
      <c r="G32" s="7">
        <v>42</v>
      </c>
      <c r="H32" s="7" t="s">
        <v>93</v>
      </c>
      <c r="I32" s="4" t="s">
        <v>489</v>
      </c>
      <c r="J32" s="4" t="s">
        <v>440</v>
      </c>
    </row>
    <row r="33" spans="1:10">
      <c r="A33" s="360"/>
      <c r="B33" s="33">
        <v>32</v>
      </c>
      <c r="C33" s="33" t="s">
        <v>209</v>
      </c>
      <c r="D33" s="33" t="str">
        <f t="shared" si="1"/>
        <v>東毛</v>
      </c>
      <c r="F33" s="4">
        <v>32</v>
      </c>
      <c r="G33" s="7">
        <v>43</v>
      </c>
      <c r="H33" s="7" t="s">
        <v>94</v>
      </c>
      <c r="I33" s="4" t="s">
        <v>490</v>
      </c>
      <c r="J33" s="4" t="s">
        <v>441</v>
      </c>
    </row>
    <row r="34" spans="1:10">
      <c r="A34" s="360"/>
      <c r="B34" s="33">
        <v>33</v>
      </c>
      <c r="C34" s="33"/>
      <c r="D34" s="33" t="str">
        <f t="shared" si="1"/>
        <v/>
      </c>
      <c r="F34" s="4">
        <v>33</v>
      </c>
      <c r="G34" s="7">
        <v>44</v>
      </c>
      <c r="H34" s="7" t="s">
        <v>95</v>
      </c>
      <c r="I34" s="4" t="s">
        <v>491</v>
      </c>
      <c r="J34" s="4" t="s">
        <v>442</v>
      </c>
    </row>
    <row r="35" spans="1:10">
      <c r="A35" s="360"/>
      <c r="B35" s="33">
        <v>34</v>
      </c>
      <c r="C35" s="33"/>
      <c r="D35" s="33" t="str">
        <f t="shared" si="1"/>
        <v/>
      </c>
      <c r="F35" s="4">
        <v>34</v>
      </c>
      <c r="G35" s="7">
        <v>45</v>
      </c>
      <c r="H35" s="7" t="s">
        <v>96</v>
      </c>
      <c r="I35" s="4" t="s">
        <v>492</v>
      </c>
      <c r="J35" s="4" t="s">
        <v>443</v>
      </c>
    </row>
    <row r="36" spans="1:10">
      <c r="A36" s="360"/>
      <c r="B36" s="33">
        <v>35</v>
      </c>
      <c r="C36" s="33"/>
      <c r="D36" s="33" t="str">
        <f t="shared" si="1"/>
        <v/>
      </c>
      <c r="F36" s="4">
        <v>35</v>
      </c>
      <c r="G36" s="7">
        <v>46</v>
      </c>
      <c r="H36" s="7" t="s">
        <v>97</v>
      </c>
      <c r="I36" s="4" t="s">
        <v>493</v>
      </c>
      <c r="J36" s="4" t="s">
        <v>444</v>
      </c>
    </row>
    <row r="37" spans="1:10">
      <c r="A37" s="360"/>
      <c r="B37" s="33">
        <v>36</v>
      </c>
      <c r="C37" s="33"/>
      <c r="D37" s="33" t="str">
        <f t="shared" si="1"/>
        <v/>
      </c>
      <c r="F37" s="4">
        <v>36</v>
      </c>
      <c r="G37" s="7">
        <v>49</v>
      </c>
      <c r="H37" s="7" t="s">
        <v>255</v>
      </c>
      <c r="I37" s="4" t="s">
        <v>494</v>
      </c>
      <c r="J37" s="4" t="s">
        <v>445</v>
      </c>
    </row>
    <row r="38" spans="1:10">
      <c r="A38" s="360"/>
      <c r="B38" s="33">
        <v>37</v>
      </c>
      <c r="C38" s="33"/>
      <c r="D38" s="33" t="str">
        <f t="shared" si="1"/>
        <v/>
      </c>
      <c r="F38" s="4">
        <v>37</v>
      </c>
      <c r="G38" s="7">
        <v>61</v>
      </c>
      <c r="H38" s="7" t="s">
        <v>98</v>
      </c>
      <c r="I38" s="4" t="s">
        <v>495</v>
      </c>
      <c r="J38" s="4" t="s">
        <v>446</v>
      </c>
    </row>
    <row r="39" spans="1:10">
      <c r="A39" s="360"/>
      <c r="B39" s="33">
        <v>38</v>
      </c>
      <c r="C39" s="33"/>
      <c r="D39" s="33" t="str">
        <f t="shared" si="1"/>
        <v/>
      </c>
      <c r="F39" s="4">
        <v>38</v>
      </c>
      <c r="G39" s="7">
        <v>62</v>
      </c>
      <c r="H39" s="7" t="s">
        <v>99</v>
      </c>
      <c r="I39" s="4" t="s">
        <v>496</v>
      </c>
      <c r="J39" s="4" t="s">
        <v>447</v>
      </c>
    </row>
    <row r="40" spans="1:10">
      <c r="A40" s="360"/>
      <c r="B40" s="33">
        <v>39</v>
      </c>
      <c r="C40" s="33"/>
      <c r="D40" s="33" t="str">
        <f t="shared" si="1"/>
        <v/>
      </c>
      <c r="F40" s="4">
        <v>39</v>
      </c>
      <c r="G40" s="7">
        <v>63</v>
      </c>
      <c r="H40" s="7" t="s">
        <v>100</v>
      </c>
      <c r="I40" s="4" t="s">
        <v>497</v>
      </c>
      <c r="J40" s="4" t="s">
        <v>448</v>
      </c>
    </row>
    <row r="41" spans="1:10">
      <c r="A41" s="360"/>
      <c r="B41" s="34">
        <v>40</v>
      </c>
      <c r="C41" s="34"/>
      <c r="D41" s="34" t="str">
        <f t="shared" si="1"/>
        <v/>
      </c>
      <c r="F41" s="4">
        <v>40</v>
      </c>
      <c r="G41" s="7">
        <v>64</v>
      </c>
      <c r="H41" s="7" t="s">
        <v>101</v>
      </c>
      <c r="I41" s="4" t="s">
        <v>498</v>
      </c>
      <c r="J41" s="4" t="s">
        <v>449</v>
      </c>
    </row>
    <row r="42" spans="1:10">
      <c r="A42" s="360" t="s">
        <v>102</v>
      </c>
      <c r="B42" s="32">
        <v>41</v>
      </c>
      <c r="C42" s="32" t="s">
        <v>92</v>
      </c>
      <c r="D42" s="32" t="str">
        <f>IF(C42="","",$A$42)</f>
        <v>北毛</v>
      </c>
      <c r="F42" s="4">
        <v>41</v>
      </c>
      <c r="G42" s="7">
        <v>65</v>
      </c>
      <c r="H42" s="7" t="s">
        <v>103</v>
      </c>
      <c r="I42" s="4" t="s">
        <v>464</v>
      </c>
      <c r="J42" s="4" t="s">
        <v>450</v>
      </c>
    </row>
    <row r="43" spans="1:10">
      <c r="A43" s="360"/>
      <c r="B43" s="33">
        <v>42</v>
      </c>
      <c r="C43" s="33" t="s">
        <v>93</v>
      </c>
      <c r="D43" s="33" t="str">
        <f t="shared" ref="D43:D61" si="2">IF(C43="","",$A$42)</f>
        <v>北毛</v>
      </c>
      <c r="F43" s="4">
        <v>42</v>
      </c>
      <c r="G43" s="7">
        <v>66</v>
      </c>
      <c r="H43" s="7" t="s">
        <v>104</v>
      </c>
      <c r="I43" s="4" t="s">
        <v>499</v>
      </c>
      <c r="J43" s="4" t="s">
        <v>451</v>
      </c>
    </row>
    <row r="44" spans="1:10">
      <c r="A44" s="360"/>
      <c r="B44" s="33">
        <v>43</v>
      </c>
      <c r="C44" s="33" t="s">
        <v>94</v>
      </c>
      <c r="D44" s="33" t="str">
        <f t="shared" si="2"/>
        <v>北毛</v>
      </c>
      <c r="F44" s="4">
        <v>43</v>
      </c>
      <c r="G44" s="7">
        <v>67</v>
      </c>
      <c r="H44" s="7" t="s">
        <v>105</v>
      </c>
      <c r="I44" s="4" t="s">
        <v>500</v>
      </c>
      <c r="J44" s="4" t="s">
        <v>413</v>
      </c>
    </row>
    <row r="45" spans="1:10">
      <c r="A45" s="360"/>
      <c r="B45" s="33">
        <v>44</v>
      </c>
      <c r="C45" s="33" t="s">
        <v>95</v>
      </c>
      <c r="D45" s="33" t="str">
        <f t="shared" si="2"/>
        <v>北毛</v>
      </c>
      <c r="F45" s="4">
        <v>44</v>
      </c>
      <c r="G45" s="7">
        <v>68</v>
      </c>
      <c r="H45" s="7" t="s">
        <v>106</v>
      </c>
      <c r="I45" s="4" t="s">
        <v>465</v>
      </c>
      <c r="J45" s="4" t="s">
        <v>452</v>
      </c>
    </row>
    <row r="46" spans="1:10">
      <c r="A46" s="360"/>
      <c r="B46" s="33">
        <v>45</v>
      </c>
      <c r="C46" s="33" t="s">
        <v>96</v>
      </c>
      <c r="D46" s="33" t="str">
        <f t="shared" si="2"/>
        <v>北毛</v>
      </c>
      <c r="F46" s="4">
        <v>45</v>
      </c>
      <c r="G46" s="7">
        <v>69</v>
      </c>
      <c r="H46" s="7" t="s">
        <v>107</v>
      </c>
      <c r="I46" s="4" t="s">
        <v>501</v>
      </c>
      <c r="J46" s="4" t="s">
        <v>453</v>
      </c>
    </row>
    <row r="47" spans="1:10">
      <c r="A47" s="360"/>
      <c r="B47" s="33">
        <v>46</v>
      </c>
      <c r="C47" s="33" t="s">
        <v>97</v>
      </c>
      <c r="D47" s="33" t="str">
        <f t="shared" si="2"/>
        <v>北毛</v>
      </c>
      <c r="F47" s="4">
        <v>46</v>
      </c>
      <c r="G47" s="7">
        <v>71</v>
      </c>
      <c r="H47" s="7" t="s">
        <v>108</v>
      </c>
      <c r="I47" s="4" t="s">
        <v>502</v>
      </c>
      <c r="J47" s="4" t="s">
        <v>454</v>
      </c>
    </row>
    <row r="48" spans="1:10">
      <c r="A48" s="360"/>
      <c r="B48" s="33">
        <v>47</v>
      </c>
      <c r="C48" s="33"/>
      <c r="D48" s="33"/>
      <c r="F48" s="4">
        <v>47</v>
      </c>
      <c r="G48" s="7">
        <v>72</v>
      </c>
      <c r="H48" s="7" t="s">
        <v>109</v>
      </c>
      <c r="I48" s="4" t="s">
        <v>503</v>
      </c>
      <c r="J48" s="4" t="s">
        <v>455</v>
      </c>
    </row>
    <row r="49" spans="1:10">
      <c r="A49" s="360"/>
      <c r="B49" s="33">
        <v>48</v>
      </c>
      <c r="C49" s="33"/>
      <c r="D49" s="33"/>
      <c r="F49" s="4">
        <v>48</v>
      </c>
      <c r="G49" s="7">
        <v>73</v>
      </c>
      <c r="H49" s="7" t="s">
        <v>110</v>
      </c>
      <c r="I49" s="4" t="s">
        <v>504</v>
      </c>
      <c r="J49" s="4" t="s">
        <v>456</v>
      </c>
    </row>
    <row r="50" spans="1:10">
      <c r="A50" s="360"/>
      <c r="B50" s="33">
        <v>49</v>
      </c>
      <c r="C50" s="33" t="s">
        <v>255</v>
      </c>
      <c r="D50" s="33" t="str">
        <f t="shared" si="2"/>
        <v>北毛</v>
      </c>
      <c r="F50" s="4">
        <v>49</v>
      </c>
      <c r="G50" s="7">
        <v>74</v>
      </c>
      <c r="H50" s="7" t="s">
        <v>111</v>
      </c>
      <c r="I50" s="4" t="s">
        <v>505</v>
      </c>
      <c r="J50" s="4" t="s">
        <v>414</v>
      </c>
    </row>
    <row r="51" spans="1:10">
      <c r="A51" s="360"/>
      <c r="B51" s="33">
        <v>50</v>
      </c>
      <c r="C51" s="33"/>
      <c r="D51" s="33" t="str">
        <f t="shared" si="2"/>
        <v/>
      </c>
      <c r="F51" s="4">
        <v>50</v>
      </c>
      <c r="G51" s="7">
        <v>76</v>
      </c>
      <c r="H51" s="7" t="s">
        <v>194</v>
      </c>
      <c r="I51" s="4" t="s">
        <v>506</v>
      </c>
      <c r="J51" s="4" t="s">
        <v>415</v>
      </c>
    </row>
    <row r="52" spans="1:10">
      <c r="A52" s="360"/>
      <c r="B52" s="33">
        <v>51</v>
      </c>
      <c r="C52" s="33"/>
      <c r="D52" s="33" t="str">
        <f t="shared" si="2"/>
        <v/>
      </c>
      <c r="F52" s="4">
        <v>51</v>
      </c>
      <c r="G52" s="7"/>
      <c r="H52" s="7"/>
    </row>
    <row r="53" spans="1:10">
      <c r="A53" s="360"/>
      <c r="B53" s="33">
        <v>52</v>
      </c>
      <c r="C53" s="33"/>
      <c r="D53" s="33" t="str">
        <f t="shared" si="2"/>
        <v/>
      </c>
      <c r="F53" s="4">
        <v>52</v>
      </c>
      <c r="G53" s="7"/>
      <c r="H53" s="7"/>
    </row>
    <row r="54" spans="1:10">
      <c r="A54" s="360"/>
      <c r="B54" s="33">
        <v>53</v>
      </c>
      <c r="C54" s="33"/>
      <c r="D54" s="33" t="str">
        <f t="shared" si="2"/>
        <v/>
      </c>
      <c r="F54" s="4">
        <v>53</v>
      </c>
      <c r="G54" s="7"/>
      <c r="H54" s="7"/>
    </row>
    <row r="55" spans="1:10">
      <c r="A55" s="360"/>
      <c r="B55" s="33">
        <v>54</v>
      </c>
      <c r="C55" s="33"/>
      <c r="D55" s="33" t="str">
        <f t="shared" si="2"/>
        <v/>
      </c>
    </row>
    <row r="56" spans="1:10">
      <c r="A56" s="360"/>
      <c r="B56" s="33">
        <v>55</v>
      </c>
      <c r="C56" s="33"/>
      <c r="D56" s="33" t="str">
        <f t="shared" si="2"/>
        <v/>
      </c>
    </row>
    <row r="57" spans="1:10">
      <c r="A57" s="360"/>
      <c r="B57" s="33">
        <v>56</v>
      </c>
      <c r="C57" s="33"/>
      <c r="D57" s="33" t="str">
        <f t="shared" si="2"/>
        <v/>
      </c>
    </row>
    <row r="58" spans="1:10">
      <c r="A58" s="360"/>
      <c r="B58" s="33">
        <v>57</v>
      </c>
      <c r="C58" s="33"/>
      <c r="D58" s="33" t="str">
        <f t="shared" si="2"/>
        <v/>
      </c>
    </row>
    <row r="59" spans="1:10">
      <c r="A59" s="360"/>
      <c r="B59" s="33">
        <v>58</v>
      </c>
      <c r="C59" s="33"/>
      <c r="D59" s="33" t="str">
        <f t="shared" si="2"/>
        <v/>
      </c>
    </row>
    <row r="60" spans="1:10">
      <c r="A60" s="360"/>
      <c r="B60" s="33">
        <v>59</v>
      </c>
      <c r="C60" s="33"/>
      <c r="D60" s="33" t="str">
        <f t="shared" si="2"/>
        <v/>
      </c>
    </row>
    <row r="61" spans="1:10">
      <c r="A61" s="360"/>
      <c r="B61" s="34">
        <v>60</v>
      </c>
      <c r="C61" s="34"/>
      <c r="D61" s="34" t="str">
        <f t="shared" si="2"/>
        <v/>
      </c>
    </row>
    <row r="62" spans="1:10">
      <c r="A62" s="361" t="s">
        <v>112</v>
      </c>
      <c r="B62" s="32">
        <v>61</v>
      </c>
      <c r="C62" s="32" t="s">
        <v>98</v>
      </c>
      <c r="D62" s="32" t="str">
        <f>IF(C62="","",$A$62)</f>
        <v>西毛</v>
      </c>
    </row>
    <row r="63" spans="1:10">
      <c r="A63" s="362"/>
      <c r="B63" s="33">
        <v>62</v>
      </c>
      <c r="C63" s="33" t="s">
        <v>99</v>
      </c>
      <c r="D63" s="33" t="str">
        <f t="shared" ref="D63:D81" si="3">IF(C63="","",$A$62)</f>
        <v>西毛</v>
      </c>
    </row>
    <row r="64" spans="1:10">
      <c r="A64" s="362"/>
      <c r="B64" s="33">
        <v>63</v>
      </c>
      <c r="C64" s="33" t="s">
        <v>100</v>
      </c>
      <c r="D64" s="33" t="str">
        <f t="shared" si="3"/>
        <v>西毛</v>
      </c>
    </row>
    <row r="65" spans="1:4">
      <c r="A65" s="362"/>
      <c r="B65" s="33">
        <v>64</v>
      </c>
      <c r="C65" s="33" t="s">
        <v>101</v>
      </c>
      <c r="D65" s="33" t="str">
        <f t="shared" si="3"/>
        <v>西毛</v>
      </c>
    </row>
    <row r="66" spans="1:4">
      <c r="A66" s="362"/>
      <c r="B66" s="33">
        <v>65</v>
      </c>
      <c r="C66" s="33" t="s">
        <v>103</v>
      </c>
      <c r="D66" s="33" t="str">
        <f t="shared" si="3"/>
        <v>西毛</v>
      </c>
    </row>
    <row r="67" spans="1:4">
      <c r="A67" s="362"/>
      <c r="B67" s="33">
        <v>66</v>
      </c>
      <c r="C67" s="33" t="s">
        <v>104</v>
      </c>
      <c r="D67" s="33" t="str">
        <f t="shared" si="3"/>
        <v>西毛</v>
      </c>
    </row>
    <row r="68" spans="1:4">
      <c r="A68" s="362"/>
      <c r="B68" s="33">
        <v>67</v>
      </c>
      <c r="C68" s="33" t="s">
        <v>105</v>
      </c>
      <c r="D68" s="33" t="str">
        <f t="shared" si="3"/>
        <v>西毛</v>
      </c>
    </row>
    <row r="69" spans="1:4">
      <c r="A69" s="362"/>
      <c r="B69" s="33">
        <v>68</v>
      </c>
      <c r="C69" s="33" t="s">
        <v>106</v>
      </c>
      <c r="D69" s="33" t="str">
        <f t="shared" si="3"/>
        <v>西毛</v>
      </c>
    </row>
    <row r="70" spans="1:4">
      <c r="A70" s="362"/>
      <c r="B70" s="33">
        <v>69</v>
      </c>
      <c r="C70" s="33" t="s">
        <v>107</v>
      </c>
      <c r="D70" s="33" t="str">
        <f t="shared" si="3"/>
        <v>西毛</v>
      </c>
    </row>
    <row r="71" spans="1:4">
      <c r="A71" s="362"/>
      <c r="B71" s="33">
        <v>70</v>
      </c>
      <c r="C71" s="33"/>
      <c r="D71" s="33"/>
    </row>
    <row r="72" spans="1:4">
      <c r="A72" s="362"/>
      <c r="B72" s="33">
        <v>71</v>
      </c>
      <c r="C72" s="33" t="s">
        <v>108</v>
      </c>
      <c r="D72" s="33" t="str">
        <f t="shared" si="3"/>
        <v>西毛</v>
      </c>
    </row>
    <row r="73" spans="1:4">
      <c r="A73" s="362"/>
      <c r="B73" s="33">
        <v>72</v>
      </c>
      <c r="C73" s="33" t="s">
        <v>109</v>
      </c>
      <c r="D73" s="33" t="str">
        <f t="shared" si="3"/>
        <v>西毛</v>
      </c>
    </row>
    <row r="74" spans="1:4">
      <c r="A74" s="362"/>
      <c r="B74" s="33">
        <v>73</v>
      </c>
      <c r="C74" s="33" t="s">
        <v>110</v>
      </c>
      <c r="D74" s="33" t="str">
        <f t="shared" si="3"/>
        <v>西毛</v>
      </c>
    </row>
    <row r="75" spans="1:4">
      <c r="A75" s="362"/>
      <c r="B75" s="33">
        <v>74</v>
      </c>
      <c r="C75" s="33" t="s">
        <v>111</v>
      </c>
      <c r="D75" s="33" t="str">
        <f t="shared" si="3"/>
        <v>西毛</v>
      </c>
    </row>
    <row r="76" spans="1:4">
      <c r="A76" s="362"/>
      <c r="B76" s="33">
        <v>75</v>
      </c>
      <c r="C76" s="33"/>
      <c r="D76" s="33"/>
    </row>
    <row r="77" spans="1:4">
      <c r="A77" s="362"/>
      <c r="B77" s="33">
        <v>76</v>
      </c>
      <c r="C77" s="33" t="s">
        <v>194</v>
      </c>
      <c r="D77" s="33" t="str">
        <f t="shared" si="3"/>
        <v>西毛</v>
      </c>
    </row>
    <row r="78" spans="1:4">
      <c r="A78" s="362"/>
      <c r="B78" s="33">
        <v>77</v>
      </c>
      <c r="C78" s="33"/>
      <c r="D78" s="33" t="str">
        <f t="shared" si="3"/>
        <v/>
      </c>
    </row>
    <row r="79" spans="1:4">
      <c r="A79" s="362"/>
      <c r="B79" s="33">
        <v>78</v>
      </c>
      <c r="C79" s="33"/>
      <c r="D79" s="33" t="str">
        <f t="shared" si="3"/>
        <v/>
      </c>
    </row>
    <row r="80" spans="1:4">
      <c r="A80" s="362"/>
      <c r="B80" s="33">
        <v>79</v>
      </c>
      <c r="C80" s="33"/>
      <c r="D80" s="33" t="str">
        <f t="shared" si="3"/>
        <v/>
      </c>
    </row>
    <row r="81" spans="1:4">
      <c r="A81" s="363"/>
      <c r="B81" s="34">
        <v>80</v>
      </c>
      <c r="C81" s="34"/>
      <c r="D81" s="34" t="str">
        <f t="shared" si="3"/>
        <v/>
      </c>
    </row>
    <row r="82" spans="1:4">
      <c r="B82" s="4"/>
      <c r="C82" s="4"/>
      <c r="D82" s="4"/>
    </row>
    <row r="83" spans="1:4">
      <c r="B83" s="4"/>
      <c r="C83" s="4"/>
      <c r="D83" s="4"/>
    </row>
    <row r="84" spans="1:4">
      <c r="B84" s="4"/>
      <c r="C84" s="4"/>
      <c r="D84" s="4"/>
    </row>
    <row r="85" spans="1:4">
      <c r="B85" s="4"/>
      <c r="C85" s="4"/>
      <c r="D85" s="4"/>
    </row>
    <row r="86" spans="1:4">
      <c r="B86" s="4"/>
      <c r="C86" s="4"/>
      <c r="D86" s="4"/>
    </row>
    <row r="87" spans="1:4">
      <c r="B87" s="4"/>
      <c r="C87" s="4"/>
      <c r="D87" s="4"/>
    </row>
    <row r="88" spans="1:4">
      <c r="B88" s="4"/>
      <c r="C88" s="4"/>
      <c r="D88" s="4"/>
    </row>
    <row r="89" spans="1:4">
      <c r="B89" s="4"/>
      <c r="C89" s="4"/>
      <c r="D89" s="4"/>
    </row>
    <row r="90" spans="1:4">
      <c r="B90" s="4"/>
      <c r="C90" s="4"/>
      <c r="D90" s="4"/>
    </row>
    <row r="91" spans="1:4">
      <c r="B91" s="4"/>
      <c r="C91" s="4"/>
      <c r="D91" s="4"/>
    </row>
    <row r="92" spans="1:4">
      <c r="B92" s="4"/>
      <c r="C92" s="4"/>
      <c r="D92" s="4"/>
    </row>
    <row r="93" spans="1:4">
      <c r="B93" s="4"/>
      <c r="C93" s="4"/>
      <c r="D93" s="4"/>
    </row>
    <row r="94" spans="1:4">
      <c r="B94" s="4"/>
      <c r="C94" s="4"/>
      <c r="D94" s="4"/>
    </row>
    <row r="95" spans="1:4">
      <c r="B95" s="4"/>
      <c r="C95" s="4"/>
      <c r="D95" s="4"/>
    </row>
    <row r="96" spans="1: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sheetData>
  <sheetProtection password="CC71" sheet="1" objects="1" scenarios="1"/>
  <mergeCells count="4">
    <mergeCell ref="A2:A21"/>
    <mergeCell ref="A22:A41"/>
    <mergeCell ref="A42:A61"/>
    <mergeCell ref="A62:A81"/>
  </mergeCells>
  <phoneticPr fontId="2"/>
  <pageMargins left="0.39370078740157483" right="0.39370078740157483" top="0.39370078740157483" bottom="0.39370078740157483" header="0.19685039370078741" footer="0.19685039370078741"/>
  <pageSetup paperSize="9" scale="8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L128"/>
  <sheetViews>
    <sheetView zoomScaleNormal="100" workbookViewId="0"/>
  </sheetViews>
  <sheetFormatPr defaultColWidth="9" defaultRowHeight="12.75"/>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10" width="3.875" style="143" customWidth="1"/>
    <col min="11" max="16384" width="9" style="143"/>
  </cols>
  <sheetData>
    <row r="1" spans="1:12" ht="12.75" customHeight="1"/>
    <row r="2" spans="1:12" ht="22.5" customHeight="1">
      <c r="A2" s="382" t="s">
        <v>518</v>
      </c>
      <c r="B2" s="340">
        <v>2</v>
      </c>
      <c r="C2" s="424" t="str">
        <f>日!B1&amp;"県高校弓道地区大会（西毛）"</f>
        <v>令和元年度県高校弓道地区大会（西毛）</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301"/>
      <c r="H4" s="302"/>
      <c r="K4" s="62" t="s">
        <v>531</v>
      </c>
      <c r="L4" s="62" t="s">
        <v>531</v>
      </c>
    </row>
    <row r="5" spans="1:12" ht="12.75" customHeight="1">
      <c r="B5" s="144"/>
      <c r="C5" s="144"/>
      <c r="D5" s="145"/>
      <c r="E5" s="145"/>
      <c r="F5" s="145"/>
      <c r="G5" s="145"/>
      <c r="K5" s="341" t="str">
        <f>SUBSTITUTE(SUBSTITUTE(K4," ",""),"　","")</f>
        <v>○○</v>
      </c>
      <c r="L5" s="341" t="str">
        <f>SUBSTITUTE(SUBSTITUTE(L4," ",""),"　","")</f>
        <v>○○</v>
      </c>
    </row>
    <row r="6" spans="1:12" ht="12.75" customHeight="1">
      <c r="B6" s="411" t="s">
        <v>39</v>
      </c>
      <c r="C6" s="411"/>
      <c r="D6" s="427">
        <v>11</v>
      </c>
      <c r="E6" s="427"/>
      <c r="F6" s="427"/>
      <c r="G6" s="427"/>
      <c r="I6" s="147"/>
    </row>
    <row r="7" spans="1:12" ht="12.75" customHeight="1">
      <c r="B7" s="411" t="s">
        <v>40</v>
      </c>
      <c r="C7" s="411"/>
      <c r="D7" s="422">
        <f>VLOOKUP(D6,日!$B$2:$F$111,3,0)</f>
        <v>43734</v>
      </c>
      <c r="E7" s="423"/>
      <c r="F7" s="416" t="str">
        <f>TEXT(WEEKDAY(D7,1),"aaaa")&amp;"　１６時"</f>
        <v>木曜日　１６時</v>
      </c>
      <c r="G7" s="417"/>
      <c r="I7" s="147"/>
    </row>
    <row r="8" spans="1:12" ht="12.75" customHeight="1">
      <c r="B8" s="411" t="s">
        <v>38</v>
      </c>
      <c r="C8" s="411"/>
      <c r="D8" s="418">
        <f>VLOOKUP(D6,日!$B$2:$F$111,5,0)</f>
        <v>43743</v>
      </c>
      <c r="E8" s="419"/>
      <c r="F8" s="420" t="str">
        <f>TEXT(WEEKDAY(D8,1),"aaaa")</f>
        <v>土曜日</v>
      </c>
      <c r="G8" s="421"/>
      <c r="I8" s="147"/>
    </row>
    <row r="9" spans="1:12" ht="12.75" customHeight="1">
      <c r="B9" s="411" t="s">
        <v>41</v>
      </c>
      <c r="C9" s="411"/>
      <c r="D9" s="412" t="s">
        <v>52</v>
      </c>
      <c r="E9" s="453"/>
      <c r="F9" s="453"/>
      <c r="G9" s="413"/>
      <c r="I9" s="147"/>
    </row>
    <row r="10" spans="1:12" ht="12.75" customHeight="1">
      <c r="B10" s="147" t="s">
        <v>62</v>
      </c>
      <c r="C10" s="147"/>
      <c r="D10" s="146"/>
      <c r="E10" s="146"/>
      <c r="F10" s="146"/>
      <c r="G10" s="146"/>
      <c r="I10" s="147"/>
    </row>
    <row r="11" spans="1:12" ht="22.5" customHeight="1">
      <c r="B11" s="414" t="str">
        <f>IF(B2=1,"男　子　団　体　参　加　申　込　書","女　子　団　体　参　加　申　込　書")</f>
        <v>女　子　団　体　参　加　申　込　書</v>
      </c>
      <c r="C11" s="414"/>
      <c r="D11" s="414"/>
      <c r="E11" s="414"/>
      <c r="F11" s="414"/>
      <c r="G11" s="414"/>
      <c r="I11" s="451" t="s">
        <v>53</v>
      </c>
      <c r="J11" s="452"/>
    </row>
    <row r="12" spans="1:12" ht="12.75" customHeight="1">
      <c r="A12" s="340" t="s">
        <v>32</v>
      </c>
      <c r="B12" s="148" t="s">
        <v>51</v>
      </c>
      <c r="C12" s="149" t="s">
        <v>10</v>
      </c>
      <c r="D12" s="150" t="s">
        <v>33</v>
      </c>
      <c r="E12" s="151" t="s">
        <v>12</v>
      </c>
      <c r="F12" s="152" t="s">
        <v>13</v>
      </c>
      <c r="G12" s="153" t="s">
        <v>14</v>
      </c>
      <c r="H12" s="340" t="s">
        <v>47</v>
      </c>
      <c r="I12" s="340" t="s">
        <v>54</v>
      </c>
      <c r="J12" s="340" t="s">
        <v>55</v>
      </c>
    </row>
    <row r="13" spans="1:12" ht="12.75" customHeight="1">
      <c r="A13" s="154" t="str">
        <f>IF($B$2=1,IF($D$13="","",VLOOKUP(登!$D$1,立男!$A$4:$I$100,4,0)),IF($D$13="","",VLOOKUP(登!$D$1,立女!$A$4:$I$100,4,0)))</f>
        <v/>
      </c>
      <c r="B13" s="155" t="s">
        <v>56</v>
      </c>
      <c r="C13" s="156" t="str">
        <f>IF(D13="","",登!$F$1)</f>
        <v/>
      </c>
      <c r="D13" s="63"/>
      <c r="E13" s="157">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4" t="str">
        <f t="shared" ref="H13:H20" si="0">IF(D13="","",IF(COUNTIF($D$13:$D$20,D13)+COUNTIF($D$26:$D$55,D13)&gt;1,"選手重複!!","OK"))</f>
        <v/>
      </c>
      <c r="I13" s="496"/>
      <c r="J13" s="497"/>
    </row>
    <row r="14" spans="1:12" ht="12.75" customHeight="1">
      <c r="A14" s="303" t="str">
        <f>IF($B$2=1,IF($D$13="","",VLOOKUP(登!$D$1,立男!$A$4:$I$100,4,0)),IF($D$13="","",VLOOKUP(登!$D$1,立女!$A$4:$I$100,4,0)))</f>
        <v/>
      </c>
      <c r="B14" s="304" t="s">
        <v>16</v>
      </c>
      <c r="C14" s="305" t="str">
        <f>IF(D14="","",登!$F$1)</f>
        <v/>
      </c>
      <c r="D14" s="495"/>
      <c r="E14" s="306">
        <v>2</v>
      </c>
      <c r="F14" s="307" t="str">
        <f>IF(D14="","",IF(COUNTIF($D$13:D14,"")&gt;0,"大前から詰めて入力",IF(INT(VALUE(RIGHT(D14,3))/100)=$B$2,VLOOKUP(D14,登!$B$4:$I$103,7,0),"部員番号入力ミス")))</f>
        <v/>
      </c>
      <c r="G14" s="308" t="str">
        <f>IF(D14="","",IF(INT(VALUE(RIGHT(D14,3))/100)=$B$2,IF(VLOOKUP(D14,登!$B$4:$I$103,2,0)=登!$B$1,1,IF(VLOOKUP(D14,登!$B$4:$I$103,2,0)=登!$B$1-1,2,IF(VLOOKUP(D14,登!$B$4:$I$103,2,0)=登!$B$1-2,3,"学年ミス"))),"番号ミス"))</f>
        <v/>
      </c>
      <c r="H14" s="303" t="str">
        <f t="shared" si="0"/>
        <v/>
      </c>
      <c r="I14" s="498"/>
      <c r="J14" s="499"/>
    </row>
    <row r="15" spans="1:12" ht="12.75" customHeight="1">
      <c r="A15" s="160" t="str">
        <f>IF($B$2=1,IF($D$13="","",VLOOKUP(登!$D$1,立男!$A$4:$I$100,4,0)),IF($D$13="","",VLOOKUP(登!$D$1,立女!$A$4:$I$100,4,0)))</f>
        <v/>
      </c>
      <c r="B15" s="161" t="s">
        <v>56</v>
      </c>
      <c r="C15" s="162" t="str">
        <f>IF(D15="","",登!$F$1)</f>
        <v/>
      </c>
      <c r="D15" s="64"/>
      <c r="E15" s="163">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0" t="str">
        <f t="shared" si="0"/>
        <v/>
      </c>
      <c r="I15" s="500"/>
      <c r="J15" s="501"/>
    </row>
    <row r="16" spans="1:12" ht="12.75" customHeight="1">
      <c r="A16" s="175" t="str">
        <f>IF($B$2=1,IF($D$13="","",VLOOKUP(登!$D$1,立男!$A$4:$I$100,4,0)),IF($D$13="","",VLOOKUP(登!$D$1,立女!$A$4:$I$100,4,0)))</f>
        <v/>
      </c>
      <c r="B16" s="176" t="s">
        <v>56</v>
      </c>
      <c r="C16" s="177" t="str">
        <f>IF(D16="","",登!$F$1)</f>
        <v/>
      </c>
      <c r="D16" s="66"/>
      <c r="E16" s="179">
        <v>4</v>
      </c>
      <c r="F16" s="188" t="str">
        <f>IF(D16="","",IF(COUNTIF($D$13:D16,"")&gt;0,"大前から詰めて入力",IF(INT(VALUE(RIGHT(D16,3))/100)=$B$2,VLOOKUP(D16,登!$B$4:$I$103,7,0),"部員番号入力ミス")))</f>
        <v/>
      </c>
      <c r="G16" s="181" t="str">
        <f>IF(D16="","",IF(INT(VALUE(RIGHT(D16,3))/100)=$B$2,IF(VLOOKUP(D16,登!$B$4:$I$103,2,0)=登!$B$1,1,IF(VLOOKUP(D16,登!$B$4:$I$103,2,0)=登!$B$1-1,2,IF(VLOOKUP(D16,登!$B$4:$I$103,2,0)=登!$B$1-2,3,"学年ミス"))),"番号ミス"))</f>
        <v/>
      </c>
      <c r="H16" s="175" t="str">
        <f t="shared" si="0"/>
        <v/>
      </c>
      <c r="I16" s="502"/>
      <c r="J16" s="503"/>
    </row>
    <row r="17" spans="1:10" ht="12.75" customHeight="1">
      <c r="A17" s="154" t="str">
        <f>IF($B$2=1,IF($D$17="","",VLOOKUP(登!$D$1,立男!$A$4:$I$100,4,0)+100),IF($D$17="","",VLOOKUP(登!$D$1,立女!$A$4:$I$100,4,0)+100))</f>
        <v/>
      </c>
      <c r="B17" s="155" t="s">
        <v>57</v>
      </c>
      <c r="C17" s="156" t="str">
        <f>IF(D17="","",登!$F$1)</f>
        <v/>
      </c>
      <c r="D17" s="63"/>
      <c r="E17" s="157">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4" t="str">
        <f t="shared" si="0"/>
        <v/>
      </c>
      <c r="I17" s="496"/>
      <c r="J17" s="497"/>
    </row>
    <row r="18" spans="1:10" ht="12.75" customHeight="1">
      <c r="A18" s="303" t="str">
        <f>IF($B$2=1,IF($D$17="","",VLOOKUP(登!$D$1,立男!$A$4:$I$100,4,0)+100),IF($D$17="","",VLOOKUP(登!$D$1,立女!$A$4:$I$100,4,0)+100))</f>
        <v/>
      </c>
      <c r="B18" s="304" t="s">
        <v>17</v>
      </c>
      <c r="C18" s="305" t="str">
        <f>IF(D18="","",登!$F$1)</f>
        <v/>
      </c>
      <c r="D18" s="495"/>
      <c r="E18" s="306">
        <v>6</v>
      </c>
      <c r="F18" s="307" t="str">
        <f>IF(D18="","",IF(COUNTIF($D$13:$D$16,"")=4,"Ａチームから入力",IF(COUNTIF($D$17:D18,"")&gt;0,"大前から詰めて入力",IF(INT(VALUE(RIGHT(D18,3))/100)=$B$2,VLOOKUP(D18,登!$B$4:$I$103,7,0),"部員番号入力ミス"))))</f>
        <v/>
      </c>
      <c r="G18" s="308" t="str">
        <f>IF(D18="","",IF(INT(VALUE(RIGHT(D18,3))/100)=$B$2,IF(VLOOKUP(D18,登!$B$4:$I$103,2,0)=登!$B$1,1,IF(VLOOKUP(D18,登!$B$4:$I$103,2,0)=登!$B$1-1,2,IF(VLOOKUP(D18,登!$B$4:$I$103,2,0)=登!$B$1-2,3,"学年ミス"))),"番号ミス"))</f>
        <v/>
      </c>
      <c r="H18" s="303" t="str">
        <f t="shared" si="0"/>
        <v/>
      </c>
      <c r="I18" s="498"/>
      <c r="J18" s="499"/>
    </row>
    <row r="19" spans="1:10" ht="12.75" customHeight="1">
      <c r="A19" s="160" t="str">
        <f>IF($B$2=1,IF($D$17="","",VLOOKUP(登!$D$1,立男!$A$4:$I$100,4,0)+100),IF($D$17="","",VLOOKUP(登!$D$1,立女!$A$4:$I$100,4,0)+100))</f>
        <v/>
      </c>
      <c r="B19" s="161" t="s">
        <v>57</v>
      </c>
      <c r="C19" s="162" t="str">
        <f>IF(D19="","",登!$F$1)</f>
        <v/>
      </c>
      <c r="D19" s="64"/>
      <c r="E19" s="163">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0" t="str">
        <f t="shared" si="0"/>
        <v/>
      </c>
      <c r="I19" s="500"/>
      <c r="J19" s="501"/>
    </row>
    <row r="20" spans="1:10" ht="12.75" customHeight="1">
      <c r="A20" s="175" t="str">
        <f>IF($B$2=1,IF($D$17="","",VLOOKUP(登!$D$1,立男!$A$4:$I$100,4,0)+100),IF($D$17="","",VLOOKUP(登!$D$1,立女!$A$4:$I$100,4,0)+100))</f>
        <v/>
      </c>
      <c r="B20" s="176" t="s">
        <v>57</v>
      </c>
      <c r="C20" s="177" t="str">
        <f>IF(D20="","",登!$F$1)</f>
        <v/>
      </c>
      <c r="D20" s="66"/>
      <c r="E20" s="179">
        <v>8</v>
      </c>
      <c r="F20" s="188" t="str">
        <f>IF(D20="","",IF(COUNTIF($D$13:$D$16,"")=4,"Ａチームから入力",IF(COUNTIF($D$17:D20,"")&gt;0,"大前から詰めて入力",IF(INT(VALUE(RIGHT(D20,3))/100)=$B$2,VLOOKUP(D20,登!$B$4:$I$103,7,0),"部員番号入力ミス"))))</f>
        <v/>
      </c>
      <c r="G20" s="181" t="str">
        <f>IF(D20="","",IF(INT(VALUE(RIGHT(D20,3))/100)=$B$2,IF(VLOOKUP(D20,登!$B$4:$I$103,2,0)=登!$B$1,1,IF(VLOOKUP(D20,登!$B$4:$I$103,2,0)=登!$B$1-1,2,IF(VLOOKUP(D20,登!$B$4:$I$103,2,0)=登!$B$1-2,3,"学年ミス"))),"番号ミス"))</f>
        <v/>
      </c>
      <c r="H20" s="175" t="str">
        <f t="shared" si="0"/>
        <v/>
      </c>
      <c r="I20" s="502"/>
      <c r="J20" s="503"/>
    </row>
    <row r="21" spans="1:10" ht="12.75" customHeight="1">
      <c r="A21" s="154" t="str">
        <f>IF($B$2=1,IF($D$21="","",VLOOKUP(登!$D$1,立男!$A$4:$I$100,4,0)+300),IF($D$21="","",VLOOKUP(登!$D$1,立女!$A$4:$I$100,4,0)+300))</f>
        <v/>
      </c>
      <c r="B21" s="155" t="s">
        <v>61</v>
      </c>
      <c r="C21" s="156" t="str">
        <f>IF(D21="","",登!$F$1)</f>
        <v/>
      </c>
      <c r="D21" s="172" t="str">
        <f>IF(D16="","",D16)</f>
        <v/>
      </c>
      <c r="E21" s="157">
        <v>4</v>
      </c>
      <c r="F21" s="173" t="str">
        <f>IF(F16="","",F16)</f>
        <v/>
      </c>
      <c r="G21" s="159" t="str">
        <f>IF(D21="","",IF(INT(VALUE(RIGHT(D21,3))/100)=$B$2,IF(VLOOKUP(D21,登!$B$4:$I$103,2,0)=登!$B$1,1,IF(VLOOKUP(D21,登!$B$4:$I$103,2,0)=登!$B$1-1,2,IF(VLOOKUP(D21,登!$B$4:$I$103,2,0)=登!$B$1-2,3,"学年ミス"))),"番号ミス"))</f>
        <v/>
      </c>
      <c r="H21" s="174"/>
      <c r="I21" s="309" t="str">
        <f>IF(I16="","",I16)</f>
        <v/>
      </c>
      <c r="J21" s="310" t="str">
        <f>IF(J16="","",J16)</f>
        <v/>
      </c>
    </row>
    <row r="22" spans="1:10" ht="12.75" customHeight="1">
      <c r="A22" s="175" t="str">
        <f>IF($B$2=1,IF($D$21="","",VLOOKUP(登!$D$1,立男!$A$4:$I$100,4,0)+300),IF($D$21="","",VLOOKUP(登!$D$1,立女!$A$4:$I$100,4,0)+300))</f>
        <v/>
      </c>
      <c r="B22" s="176" t="s">
        <v>57</v>
      </c>
      <c r="C22" s="177" t="str">
        <f>IF(D22="","",登!$F$1)</f>
        <v/>
      </c>
      <c r="D22" s="178" t="str">
        <f>IF(D20="","",D20)</f>
        <v/>
      </c>
      <c r="E22" s="179">
        <v>8</v>
      </c>
      <c r="F22" s="180" t="str">
        <f>IF(F20="","",F20)</f>
        <v/>
      </c>
      <c r="G22" s="181" t="str">
        <f>IF(D22="","",IF(INT(VALUE(RIGHT(D22,3))/100)=$B$2,IF(VLOOKUP(D22,登!$B$4:$I$103,2,0)=登!$B$1,1,IF(VLOOKUP(D22,登!$B$4:$I$103,2,0)=登!$B$1-1,2,IF(VLOOKUP(D22,登!$B$4:$I$103,2,0)=登!$B$1-2,3,"学年ミス"))),"番号ミス"))</f>
        <v/>
      </c>
      <c r="H22" s="182"/>
      <c r="I22" s="311" t="str">
        <f>IF(I20="","",I20)</f>
        <v/>
      </c>
      <c r="J22" s="312" t="str">
        <f>IF(J20="","",J20)</f>
        <v/>
      </c>
    </row>
    <row r="23" spans="1:10" ht="12.75" customHeight="1">
      <c r="B23" s="313" t="s">
        <v>15</v>
      </c>
      <c r="C23" s="302"/>
      <c r="D23" s="302"/>
      <c r="E23" s="302"/>
      <c r="F23" s="302"/>
      <c r="G23" s="302"/>
    </row>
    <row r="24" spans="1:10" ht="22.5" customHeight="1">
      <c r="B24" s="414" t="str">
        <f>IF(B2=1,"男　子　個　人　参　加　申　込　書","女　子　個　人　参　加　申　込　書")</f>
        <v>女　子　個　人　参　加　申　込　書</v>
      </c>
      <c r="C24" s="414"/>
      <c r="D24" s="414"/>
      <c r="E24" s="414"/>
      <c r="F24" s="414"/>
      <c r="G24" s="414"/>
      <c r="I24" s="451" t="s">
        <v>53</v>
      </c>
      <c r="J24" s="452"/>
    </row>
    <row r="25" spans="1:10" ht="12.75" customHeight="1">
      <c r="A25" s="340" t="s">
        <v>32</v>
      </c>
      <c r="B25" s="148" t="s">
        <v>51</v>
      </c>
      <c r="C25" s="152" t="s">
        <v>10</v>
      </c>
      <c r="D25" s="150" t="s">
        <v>33</v>
      </c>
      <c r="E25" s="152" t="s">
        <v>12</v>
      </c>
      <c r="F25" s="152" t="s">
        <v>13</v>
      </c>
      <c r="G25" s="153" t="s">
        <v>14</v>
      </c>
      <c r="H25" s="340" t="s">
        <v>47</v>
      </c>
      <c r="I25" s="340" t="s">
        <v>54</v>
      </c>
      <c r="J25" s="340" t="s">
        <v>55</v>
      </c>
    </row>
    <row r="26" spans="1:10" ht="12.75" customHeight="1">
      <c r="A26" s="154" t="str">
        <f>IF($B$2=1,IF($D$26="","",VLOOKUP(登!$D$1,立男!$A$4:$I$100,4,0)+400),IF($D$26="","",VLOOKUP(登!$D$1,立女!$A$4:$I$100,4,0)+400))</f>
        <v/>
      </c>
      <c r="B26" s="155" t="s">
        <v>21</v>
      </c>
      <c r="C26" s="185" t="str">
        <f>IF(D26="","",登!$F$1)</f>
        <v/>
      </c>
      <c r="D26" s="63"/>
      <c r="E26" s="185">
        <v>9</v>
      </c>
      <c r="F26" s="158" t="str">
        <f>IF(D26="","",IF(COUNTIF($D$13:$D$20,"")&gt;0,"団体から入力",IF(INT(VALUE(RIGHT(D26,3))/100)=$B$2,VLOOKUP(D26,登!$B$4:$I$103,7,0),"部員番号入力ミス")))</f>
        <v/>
      </c>
      <c r="G26" s="159" t="str">
        <f>IF(D26="","",IF(INT(VALUE(RIGHT(D26,3))/100)=$B$2,IF(VLOOKUP(D26,登!$B$4:$I$103,2,0)=登!$B$1,1,IF(VLOOKUP(D26,登!$B$4:$I$103,2,0)=登!$B$1-1,2,IF(VLOOKUP(D26,登!$B$4:$I$103,2,0)=登!$B$1-2,3,"学年ミス"))),"番号ミス"))</f>
        <v/>
      </c>
      <c r="H26" s="154" t="str">
        <f t="shared" ref="H26:H55" si="1">IF(D26="","",IF(COUNTIF($D$13:$D$20,D26)+COUNTIF($D$26:$D$55,D26)&gt;1,"選手重複!!","OK"))</f>
        <v/>
      </c>
      <c r="I26" s="496"/>
      <c r="J26" s="497"/>
    </row>
    <row r="27" spans="1:10" ht="12.75" customHeight="1">
      <c r="A27" s="160" t="str">
        <f>IF($B$2=1,IF($D$26="","",VLOOKUP(登!$D$1,立男!$A$4:$I$100,4,0)+400),IF($D$26="","",VLOOKUP(登!$D$1,立女!$A$4:$I$100,4,0)+400))</f>
        <v/>
      </c>
      <c r="B27" s="161" t="s">
        <v>21</v>
      </c>
      <c r="C27" s="186" t="str">
        <f>IF(D27="","",登!$F$1)</f>
        <v/>
      </c>
      <c r="D27" s="64"/>
      <c r="E27" s="186">
        <v>10</v>
      </c>
      <c r="F27" s="164" t="str">
        <f>IF(D27="","",IF(COUNTIF($D$13:$D$20,"")&gt;0,"団体から入力",IF(COUNTIF($D$26:D27,"")&gt;0,"上から詰めて入力",IF(INT(VALUE(RIGHT(D27,3))/100)=$B$2,VLOOKUP(D27,登!$B$4:$I$103,7,0),"部員番号入力ミス"))))</f>
        <v/>
      </c>
      <c r="G27" s="165" t="str">
        <f>IF(D27="","",IF(INT(VALUE(RIGHT(D27,3))/100)=$B$2,IF(VLOOKUP(D27,登!$B$4:$I$103,2,0)=登!$B$1,1,IF(VLOOKUP(D27,登!$B$4:$I$103,2,0)=登!$B$1-1,2,IF(VLOOKUP(D27,登!$B$4:$I$103,2,0)=登!$B$1-2,3,"学年ミス"))),"番号ミス"))</f>
        <v/>
      </c>
      <c r="H27" s="160" t="str">
        <f t="shared" si="1"/>
        <v/>
      </c>
      <c r="I27" s="500"/>
      <c r="J27" s="501"/>
    </row>
    <row r="28" spans="1:10" ht="12.75" customHeight="1">
      <c r="A28" s="175" t="str">
        <f>IF($B$2=1,IF($D$26="","",VLOOKUP(登!$D$1,立男!$A$4:$I$100,4,0)+400),IF($D$26="","",VLOOKUP(登!$D$1,立女!$A$4:$I$100,4,0)+400))</f>
        <v/>
      </c>
      <c r="B28" s="176" t="s">
        <v>21</v>
      </c>
      <c r="C28" s="187" t="str">
        <f>IF(D28="","",登!$F$1)</f>
        <v/>
      </c>
      <c r="D28" s="66"/>
      <c r="E28" s="187">
        <v>11</v>
      </c>
      <c r="F28" s="188" t="str">
        <f>IF(D28="","",IF(COUNTIF($D$13:$D$20,"")&gt;0,"団体から入力",IF(COUNTIF($D$26:D28,"")&gt;0,"上から詰めて入力",IF(INT(VALUE(RIGHT(D28,3))/100)=$B$2,VLOOKUP(D28,登!$B$4:$I$103,7,0),"部員番号入力ミス"))))</f>
        <v/>
      </c>
      <c r="G28" s="181" t="str">
        <f>IF(D28="","",IF(INT(VALUE(RIGHT(D28,3))/100)=$B$2,IF(VLOOKUP(D28,登!$B$4:$I$103,2,0)=登!$B$1,1,IF(VLOOKUP(D28,登!$B$4:$I$103,2,0)=登!$B$1-1,2,IF(VLOOKUP(D28,登!$B$4:$I$103,2,0)=登!$B$1-2,3,"学年ミス"))),"番号ミス"))</f>
        <v/>
      </c>
      <c r="H28" s="175" t="str">
        <f t="shared" si="1"/>
        <v/>
      </c>
      <c r="I28" s="502"/>
      <c r="J28" s="503"/>
    </row>
    <row r="29" spans="1:10" ht="12.75" customHeight="1">
      <c r="A29" s="154" t="str">
        <f>IF($B$2=1,IF($D$29="","",VLOOKUP(登!$D$1,立男!$A$4:$I$100,4,0)+500),IF($D$29="","",VLOOKUP(登!$D$1,立女!$A$4:$I$100,4,0)+500))</f>
        <v/>
      </c>
      <c r="B29" s="155" t="s">
        <v>21</v>
      </c>
      <c r="C29" s="185" t="str">
        <f>IF(D29="","",登!$F$1)</f>
        <v/>
      </c>
      <c r="D29" s="63"/>
      <c r="E29" s="185">
        <v>12</v>
      </c>
      <c r="F29" s="158" t="str">
        <f>IF(D29="","",IF(COUNTIF($D$13:$D$20,"")&gt;0,"団体から入力",IF(COUNTIF($D$26:D29,"")&gt;0,"上から詰めて入力",IF(INT(VALUE(RIGHT(D29,3))/100)=$B$2,VLOOKUP(D29,登!$B$4:$I$103,7,0),"部員番号入力ミス"))))</f>
        <v/>
      </c>
      <c r="G29" s="159" t="str">
        <f>IF(D29="","",IF(INT(VALUE(RIGHT(D29,3))/100)=$B$2,IF(VLOOKUP(D29,登!$B$4:$I$103,2,0)=登!$B$1,1,IF(VLOOKUP(D29,登!$B$4:$I$103,2,0)=登!$B$1-1,2,IF(VLOOKUP(D29,登!$B$4:$I$103,2,0)=登!$B$1-2,3,"学年ミス"))),"番号ミス"))</f>
        <v/>
      </c>
      <c r="H29" s="154" t="str">
        <f t="shared" si="1"/>
        <v/>
      </c>
      <c r="I29" s="496"/>
      <c r="J29" s="497"/>
    </row>
    <row r="30" spans="1:10" ht="12.75" customHeight="1">
      <c r="A30" s="160" t="str">
        <f>IF($B$2=1,IF($D$29="","",VLOOKUP(登!$D$1,立男!$A$4:$I$100,4,0)+500),IF($D$29="","",VLOOKUP(登!$D$1,立女!$A$4:$I$100,4,0)+500))</f>
        <v/>
      </c>
      <c r="B30" s="161" t="s">
        <v>21</v>
      </c>
      <c r="C30" s="186" t="str">
        <f>IF(D30="","",登!$F$1)</f>
        <v/>
      </c>
      <c r="D30" s="64"/>
      <c r="E30" s="186">
        <v>13</v>
      </c>
      <c r="F30" s="164" t="str">
        <f>IF(D30="","",IF(COUNTIF($D$13:$D$20,"")&gt;0,"団体から入力",IF(COUNTIF($D$26:D30,"")&gt;0,"上から詰めて入力",IF(INT(VALUE(RIGHT(D30,3))/100)=$B$2,VLOOKUP(D30,登!$B$4:$I$103,7,0),"部員番号入力ミス"))))</f>
        <v/>
      </c>
      <c r="G30" s="165" t="str">
        <f>IF(D30="","",IF(INT(VALUE(RIGHT(D30,3))/100)=$B$2,IF(VLOOKUP(D30,登!$B$4:$I$103,2,0)=登!$B$1,1,IF(VLOOKUP(D30,登!$B$4:$I$103,2,0)=登!$B$1-1,2,IF(VLOOKUP(D30,登!$B$4:$I$103,2,0)=登!$B$1-2,3,"学年ミス"))),"番号ミス"))</f>
        <v/>
      </c>
      <c r="H30" s="160" t="str">
        <f t="shared" si="1"/>
        <v/>
      </c>
      <c r="I30" s="500"/>
      <c r="J30" s="501"/>
    </row>
    <row r="31" spans="1:10" ht="12.75" customHeight="1">
      <c r="A31" s="175" t="str">
        <f>IF($B$2=1,IF($D$29="","",VLOOKUP(登!$D$1,立男!$A$4:$I$100,4,0)+500),IF($D$29="","",VLOOKUP(登!$D$1,立女!$A$4:$I$100,4,0)+500))</f>
        <v/>
      </c>
      <c r="B31" s="176" t="s">
        <v>21</v>
      </c>
      <c r="C31" s="187" t="str">
        <f>IF(D31="","",登!$F$1)</f>
        <v/>
      </c>
      <c r="D31" s="66"/>
      <c r="E31" s="187">
        <v>14</v>
      </c>
      <c r="F31" s="188" t="str">
        <f>IF(D31="","",IF(COUNTIF($D$13:$D$20,"")&gt;0,"団体から入力",IF(COUNTIF($D$26:D31,"")&gt;0,"上から詰めて入力",IF(INT(VALUE(RIGHT(D31,3))/100)=$B$2,VLOOKUP(D31,登!$B$4:$I$103,7,0),"部員番号入力ミス"))))</f>
        <v/>
      </c>
      <c r="G31" s="181" t="str">
        <f>IF(D31="","",IF(INT(VALUE(RIGHT(D31,3))/100)=$B$2,IF(VLOOKUP(D31,登!$B$4:$I$103,2,0)=登!$B$1,1,IF(VLOOKUP(D31,登!$B$4:$I$103,2,0)=登!$B$1-1,2,IF(VLOOKUP(D31,登!$B$4:$I$103,2,0)=登!$B$1-2,3,"学年ミス"))),"番号ミス"))</f>
        <v/>
      </c>
      <c r="H31" s="175" t="str">
        <f t="shared" si="1"/>
        <v/>
      </c>
      <c r="I31" s="502"/>
      <c r="J31" s="503"/>
    </row>
    <row r="32" spans="1:10" ht="12.75" customHeight="1">
      <c r="A32" s="154" t="str">
        <f>IF($B$2=1,IF($D$32="","",VLOOKUP(登!$D$1,立男!$A$4:$I$100,4,0)+600),IF($D$32="","",VLOOKUP(登!$D$1,立女!$A$4:$I$100,4,0)+600))</f>
        <v/>
      </c>
      <c r="B32" s="155" t="s">
        <v>21</v>
      </c>
      <c r="C32" s="185" t="str">
        <f>IF(D32="","",登!$F$1)</f>
        <v/>
      </c>
      <c r="D32" s="63"/>
      <c r="E32" s="185">
        <v>15</v>
      </c>
      <c r="F32" s="158" t="str">
        <f>IF(D32="","",IF(COUNTIF($D$13:$D$20,"")&gt;0,"団体から入力",IF(COUNTIF($D$26:D32,"")&gt;0,"上から詰めて入力",IF(INT(VALUE(RIGHT(D32,3))/100)=$B$2,VLOOKUP(D32,登!$B$4:$I$103,7,0),"部員番号入力ミス"))))</f>
        <v/>
      </c>
      <c r="G32" s="159" t="str">
        <f>IF(D32="","",IF(INT(VALUE(RIGHT(D32,3))/100)=$B$2,IF(VLOOKUP(D32,登!$B$4:$I$103,2,0)=登!$B$1,1,IF(VLOOKUP(D32,登!$B$4:$I$103,2,0)=登!$B$1-1,2,IF(VLOOKUP(D32,登!$B$4:$I$103,2,0)=登!$B$1-2,3,"学年ミス"))),"番号ミス"))</f>
        <v/>
      </c>
      <c r="H32" s="154" t="str">
        <f t="shared" si="1"/>
        <v/>
      </c>
      <c r="I32" s="496"/>
      <c r="J32" s="497"/>
    </row>
    <row r="33" spans="1:12" ht="12.75" customHeight="1">
      <c r="A33" s="160" t="str">
        <f>IF($B$2=1,IF($D$32="","",VLOOKUP(登!$D$1,立男!$A$4:$I$100,4,0)+600),IF($D$32="","",VLOOKUP(登!$D$1,立女!$A$4:$I$100,4,0)+600))</f>
        <v/>
      </c>
      <c r="B33" s="161" t="s">
        <v>21</v>
      </c>
      <c r="C33" s="186" t="str">
        <f>IF(D33="","",登!$F$1)</f>
        <v/>
      </c>
      <c r="D33" s="64"/>
      <c r="E33" s="186">
        <v>16</v>
      </c>
      <c r="F33" s="164" t="str">
        <f>IF(D33="","",IF(COUNTIF($D$13:$D$20,"")&gt;0,"団体から入力",IF(COUNTIF($D$26:D33,"")&gt;0,"上から詰めて入力",IF(INT(VALUE(RIGHT(D33,3))/100)=$B$2,VLOOKUP(D33,登!$B$4:$I$103,7,0),"部員番号入力ミス"))))</f>
        <v/>
      </c>
      <c r="G33" s="165" t="str">
        <f>IF(D33="","",IF(INT(VALUE(RIGHT(D33,3))/100)=$B$2,IF(VLOOKUP(D33,登!$B$4:$I$103,2,0)=登!$B$1,1,IF(VLOOKUP(D33,登!$B$4:$I$103,2,0)=登!$B$1-1,2,IF(VLOOKUP(D33,登!$B$4:$I$103,2,0)=登!$B$1-2,3,"学年ミス"))),"番号ミス"))</f>
        <v/>
      </c>
      <c r="H33" s="160" t="str">
        <f t="shared" si="1"/>
        <v/>
      </c>
      <c r="I33" s="500"/>
      <c r="J33" s="501"/>
    </row>
    <row r="34" spans="1:12" ht="12.75" customHeight="1">
      <c r="A34" s="175" t="str">
        <f>IF($B$2=1,IF($D$32="","",VLOOKUP(登!$D$1,立男!$A$4:$I$100,4,0)+600),IF($D$32="","",VLOOKUP(登!$D$1,立女!$A$4:$I$100,4,0)+600))</f>
        <v/>
      </c>
      <c r="B34" s="176" t="s">
        <v>21</v>
      </c>
      <c r="C34" s="187" t="str">
        <f>IF(D34="","",登!$F$1)</f>
        <v/>
      </c>
      <c r="D34" s="66"/>
      <c r="E34" s="187">
        <v>17</v>
      </c>
      <c r="F34" s="188" t="str">
        <f>IF(D34="","",IF(COUNTIF($D$13:$D$20,"")&gt;0,"団体から入力",IF(COUNTIF($D$26:D34,"")&gt;0,"上から詰めて入力",IF(INT(VALUE(RIGHT(D34,3))/100)=$B$2,VLOOKUP(D34,登!$B$4:$I$103,7,0),"部員番号入力ミス"))))</f>
        <v/>
      </c>
      <c r="G34" s="181" t="str">
        <f>IF(D34="","",IF(INT(VALUE(RIGHT(D34,3))/100)=$B$2,IF(VLOOKUP(D34,登!$B$4:$I$103,2,0)=登!$B$1,1,IF(VLOOKUP(D34,登!$B$4:$I$103,2,0)=登!$B$1-1,2,IF(VLOOKUP(D34,登!$B$4:$I$103,2,0)=登!$B$1-2,3,"学年ミス"))),"番号ミス"))</f>
        <v/>
      </c>
      <c r="H34" s="175" t="str">
        <f t="shared" si="1"/>
        <v/>
      </c>
      <c r="I34" s="502"/>
      <c r="J34" s="503"/>
      <c r="L34" s="147"/>
    </row>
    <row r="35" spans="1:12" ht="12.75" customHeight="1">
      <c r="A35" s="154" t="str">
        <f>IF($B$2=1,IF($D$35="","",VLOOKUP(登!$D$1,立男!$A$4:$I$100,4,0)+700),IF($D$35="","",VLOOKUP(登!$D$1,立女!$A$4:$I$100,4,0)+700))</f>
        <v/>
      </c>
      <c r="B35" s="155" t="s">
        <v>21</v>
      </c>
      <c r="C35" s="185" t="str">
        <f>IF(D35="","",登!$F$1)</f>
        <v/>
      </c>
      <c r="D35" s="63"/>
      <c r="E35" s="185">
        <v>18</v>
      </c>
      <c r="F35" s="158" t="str">
        <f>IF(D35="","",IF(COUNTIF($D$13:$D$20,"")&gt;0,"団体から入力",IF(COUNTIF($D$26:D35,"")&gt;0,"上から詰めて入力",IF(INT(VALUE(RIGHT(D35,3))/100)=$B$2,VLOOKUP(D35,登!$B$4:$I$103,7,0),"部員番号入力ミス"))))</f>
        <v/>
      </c>
      <c r="G35" s="159" t="str">
        <f>IF(D35="","",IF(INT(VALUE(RIGHT(D35,3))/100)=$B$2,IF(VLOOKUP(D35,登!$B$4:$I$103,2,0)=登!$B$1,1,IF(VLOOKUP(D35,登!$B$4:$I$103,2,0)=登!$B$1-1,2,IF(VLOOKUP(D35,登!$B$4:$I$103,2,0)=登!$B$1-2,3,"学年ミス"))),"番号ミス"))</f>
        <v/>
      </c>
      <c r="H35" s="154" t="str">
        <f t="shared" si="1"/>
        <v/>
      </c>
      <c r="I35" s="496"/>
      <c r="J35" s="497"/>
      <c r="L35" s="147"/>
    </row>
    <row r="36" spans="1:12" ht="12.75" customHeight="1">
      <c r="A36" s="160" t="str">
        <f>IF($B$2=1,IF($D$35="","",VLOOKUP(登!$D$1,立男!$A$4:$I$100,4,0)+700),IF($D$35="","",VLOOKUP(登!$D$1,立女!$A$4:$I$100,4,0)+700))</f>
        <v/>
      </c>
      <c r="B36" s="161" t="s">
        <v>21</v>
      </c>
      <c r="C36" s="186" t="str">
        <f>IF(D36="","",登!$F$1)</f>
        <v/>
      </c>
      <c r="D36" s="64"/>
      <c r="E36" s="186">
        <v>19</v>
      </c>
      <c r="F36" s="164" t="str">
        <f>IF(D36="","",IF(COUNTIF($D$13:$D$20,"")&gt;0,"団体から入力",IF(COUNTIF($D$26:D36,"")&gt;0,"上から詰めて入力",IF(INT(VALUE(RIGHT(D36,3))/100)=$B$2,VLOOKUP(D36,登!$B$4:$I$103,7,0),"部員番号入力ミス"))))</f>
        <v/>
      </c>
      <c r="G36" s="165" t="str">
        <f>IF(D36="","",IF(INT(VALUE(RIGHT(D36,3))/100)=$B$2,IF(VLOOKUP(D36,登!$B$4:$I$103,2,0)=登!$B$1,1,IF(VLOOKUP(D36,登!$B$4:$I$103,2,0)=登!$B$1-1,2,IF(VLOOKUP(D36,登!$B$4:$I$103,2,0)=登!$B$1-2,3,"学年ミス"))),"番号ミス"))</f>
        <v/>
      </c>
      <c r="H36" s="160" t="str">
        <f t="shared" si="1"/>
        <v/>
      </c>
      <c r="I36" s="500"/>
      <c r="J36" s="501"/>
      <c r="L36" s="147"/>
    </row>
    <row r="37" spans="1:12" ht="12.75" customHeight="1">
      <c r="A37" s="175" t="str">
        <f>IF($B$2=1,IF($D$35="","",VLOOKUP(登!$D$1,立男!$A$4:$I$100,4,0)+700),IF($D$35="","",VLOOKUP(登!$D$1,立女!$A$4:$I$100,4,0)+700))</f>
        <v/>
      </c>
      <c r="B37" s="176" t="s">
        <v>21</v>
      </c>
      <c r="C37" s="187" t="str">
        <f>IF(D37="","",登!$F$1)</f>
        <v/>
      </c>
      <c r="D37" s="66"/>
      <c r="E37" s="187">
        <v>20</v>
      </c>
      <c r="F37" s="188" t="str">
        <f>IF(D37="","",IF(COUNTIF($D$13:$D$20,"")&gt;0,"団体から入力",IF(COUNTIF($D$26:D37,"")&gt;0,"上から詰めて入力",IF(INT(VALUE(RIGHT(D37,3))/100)=$B$2,VLOOKUP(D37,登!$B$4:$I$103,7,0),"部員番号入力ミス"))))</f>
        <v/>
      </c>
      <c r="G37" s="181" t="str">
        <f>IF(D37="","",IF(INT(VALUE(RIGHT(D37,3))/100)=$B$2,IF(VLOOKUP(D37,登!$B$4:$I$103,2,0)=登!$B$1,1,IF(VLOOKUP(D37,登!$B$4:$I$103,2,0)=登!$B$1-1,2,IF(VLOOKUP(D37,登!$B$4:$I$103,2,0)=登!$B$1-2,3,"学年ミス"))),"番号ミス"))</f>
        <v/>
      </c>
      <c r="H37" s="175" t="str">
        <f t="shared" si="1"/>
        <v/>
      </c>
      <c r="I37" s="502"/>
      <c r="J37" s="503"/>
      <c r="L37" s="147"/>
    </row>
    <row r="38" spans="1:12" ht="12.75" customHeight="1">
      <c r="A38" s="154" t="str">
        <f>IF($B$2=1,IF($D$38="","",VLOOKUP(登!$D$1,立男!$A$4:$I$100,4,0)+800),IF($D$38="","",VLOOKUP(登!$D$1,立女!$A$4:$I$100,4,0)+800))</f>
        <v/>
      </c>
      <c r="B38" s="155" t="s">
        <v>21</v>
      </c>
      <c r="C38" s="185" t="str">
        <f>IF(D38="","",登!$F$1)</f>
        <v/>
      </c>
      <c r="D38" s="63"/>
      <c r="E38" s="185">
        <v>21</v>
      </c>
      <c r="F38" s="158" t="str">
        <f>IF(D38="","",IF(COUNTIF($D$13:$D$20,"")&gt;0,"団体から入力",IF(COUNTIF($D$26:D38,"")&gt;0,"上から詰めて入力",IF(INT(VALUE(RIGHT(D38,3))/100)=$B$2,VLOOKUP(D38,登!$B$4:$I$103,7,0),"部員番号入力ミス"))))</f>
        <v/>
      </c>
      <c r="G38" s="159" t="str">
        <f>IF(D38="","",IF(INT(VALUE(RIGHT(D38,3))/100)=$B$2,IF(VLOOKUP(D38,登!$B$4:$I$103,2,0)=登!$B$1,1,IF(VLOOKUP(D38,登!$B$4:$I$103,2,0)=登!$B$1-1,2,IF(VLOOKUP(D38,登!$B$4:$I$103,2,0)=登!$B$1-2,3,"学年ミス"))),"番号ミス"))</f>
        <v/>
      </c>
      <c r="H38" s="154" t="str">
        <f t="shared" si="1"/>
        <v/>
      </c>
      <c r="I38" s="496"/>
      <c r="J38" s="497"/>
      <c r="L38" s="147"/>
    </row>
    <row r="39" spans="1:12" ht="12.75" customHeight="1">
      <c r="A39" s="160" t="str">
        <f>IF($B$2=1,IF($D$38="","",VLOOKUP(登!$D$1,立男!$A$4:$I$100,4,0)+800),IF($D$38="","",VLOOKUP(登!$D$1,立女!$A$4:$I$100,4,0)+800))</f>
        <v/>
      </c>
      <c r="B39" s="161" t="s">
        <v>21</v>
      </c>
      <c r="C39" s="186" t="str">
        <f>IF(D39="","",登!$F$1)</f>
        <v/>
      </c>
      <c r="D39" s="64"/>
      <c r="E39" s="186">
        <v>22</v>
      </c>
      <c r="F39" s="164" t="str">
        <f>IF(D39="","",IF(COUNTIF($D$13:$D$20,"")&gt;0,"団体から入力",IF(COUNTIF($D$26:D39,"")&gt;0,"上から詰めて入力",IF(INT(VALUE(RIGHT(D39,3))/100)=$B$2,VLOOKUP(D39,登!$B$4:$I$103,7,0),"部員番号入力ミス"))))</f>
        <v/>
      </c>
      <c r="G39" s="165" t="str">
        <f>IF(D39="","",IF(INT(VALUE(RIGHT(D39,3))/100)=$B$2,IF(VLOOKUP(D39,登!$B$4:$I$103,2,0)=登!$B$1,1,IF(VLOOKUP(D39,登!$B$4:$I$103,2,0)=登!$B$1-1,2,IF(VLOOKUP(D39,登!$B$4:$I$103,2,0)=登!$B$1-2,3,"学年ミス"))),"番号ミス"))</f>
        <v/>
      </c>
      <c r="H39" s="160" t="str">
        <f t="shared" si="1"/>
        <v/>
      </c>
      <c r="I39" s="500"/>
      <c r="J39" s="501"/>
    </row>
    <row r="40" spans="1:12" ht="12.75" customHeight="1">
      <c r="A40" s="175" t="str">
        <f>IF($B$2=1,IF($D$38="","",VLOOKUP(登!$D$1,立男!$A$4:$I$100,4,0)+800),IF($D$38="","",VLOOKUP(登!$D$1,立女!$A$4:$I$100,4,0)+800))</f>
        <v/>
      </c>
      <c r="B40" s="176" t="s">
        <v>21</v>
      </c>
      <c r="C40" s="187" t="str">
        <f>IF(D40="","",登!$F$1)</f>
        <v/>
      </c>
      <c r="D40" s="66"/>
      <c r="E40" s="187">
        <v>23</v>
      </c>
      <c r="F40" s="188" t="str">
        <f>IF(D40="","",IF(COUNTIF($D$13:$D$20,"")&gt;0,"団体から入力",IF(COUNTIF($D$26:D40,"")&gt;0,"上から詰めて入力",IF(INT(VALUE(RIGHT(D40,3))/100)=$B$2,VLOOKUP(D40,登!$B$4:$I$103,7,0),"部員番号入力ミス"))))</f>
        <v/>
      </c>
      <c r="G40" s="181" t="str">
        <f>IF(D40="","",IF(INT(VALUE(RIGHT(D40,3))/100)=$B$2,IF(VLOOKUP(D40,登!$B$4:$I$103,2,0)=登!$B$1,1,IF(VLOOKUP(D40,登!$B$4:$I$103,2,0)=登!$B$1-1,2,IF(VLOOKUP(D40,登!$B$4:$I$103,2,0)=登!$B$1-2,3,"学年ミス"))),"番号ミス"))</f>
        <v/>
      </c>
      <c r="H40" s="175" t="str">
        <f t="shared" si="1"/>
        <v/>
      </c>
      <c r="I40" s="502"/>
      <c r="J40" s="503"/>
    </row>
    <row r="41" spans="1:12" ht="12.75" customHeight="1">
      <c r="A41" s="154" t="str">
        <f>IF($B$2=1,IF($D$41="","",VLOOKUP(登!$D$1,立男!$A$4:$I$100,4,0)+900),IF($D$41="","",VLOOKUP(登!$D$1,立女!$A$4:$I$100,4,0)+900))</f>
        <v/>
      </c>
      <c r="B41" s="155" t="s">
        <v>21</v>
      </c>
      <c r="C41" s="185" t="str">
        <f>IF(D41="","",登!$F$1)</f>
        <v/>
      </c>
      <c r="D41" s="63"/>
      <c r="E41" s="185">
        <v>24</v>
      </c>
      <c r="F41" s="158" t="str">
        <f>IF(D41="","",IF(COUNTIF($D$13:$D$20,"")&gt;0,"団体から入力",IF(COUNTIF($D$26:D41,"")&gt;0,"上から詰めて入力",IF(INT(VALUE(RIGHT(D41,3))/100)=$B$2,VLOOKUP(D41,登!$B$4:$I$103,7,0),"部員番号入力ミス"))))</f>
        <v/>
      </c>
      <c r="G41" s="159" t="str">
        <f>IF(D41="","",IF(INT(VALUE(RIGHT(D41,3))/100)=$B$2,IF(VLOOKUP(D41,登!$B$4:$I$103,2,0)=登!$B$1,1,IF(VLOOKUP(D41,登!$B$4:$I$103,2,0)=登!$B$1-1,2,IF(VLOOKUP(D41,登!$B$4:$I$103,2,0)=登!$B$1-2,3,"学年ミス"))),"番号ミス"))</f>
        <v/>
      </c>
      <c r="H41" s="154" t="str">
        <f t="shared" si="1"/>
        <v/>
      </c>
      <c r="I41" s="496"/>
      <c r="J41" s="497"/>
    </row>
    <row r="42" spans="1:12" ht="12.75" customHeight="1">
      <c r="A42" s="160" t="str">
        <f>IF($B$2=1,IF($D$41="","",VLOOKUP(登!$D$1,立男!$A$4:$I$100,4,0)+900),IF($D$41="","",VLOOKUP(登!$D$1,立女!$A$4:$I$100,4,0)+900))</f>
        <v/>
      </c>
      <c r="B42" s="161" t="s">
        <v>21</v>
      </c>
      <c r="C42" s="186" t="str">
        <f>IF(D42="","",登!$F$1)</f>
        <v/>
      </c>
      <c r="D42" s="64"/>
      <c r="E42" s="186">
        <v>25</v>
      </c>
      <c r="F42" s="164" t="str">
        <f>IF(D42="","",IF(COUNTIF($D$13:$D$20,"")&gt;0,"団体から入力",IF(COUNTIF($D$26:D42,"")&gt;0,"上から詰めて入力",IF(INT(VALUE(RIGHT(D42,3))/100)=$B$2,VLOOKUP(D42,登!$B$4:$I$103,7,0),"部員番号入力ミス"))))</f>
        <v/>
      </c>
      <c r="G42" s="165" t="str">
        <f>IF(D42="","",IF(INT(VALUE(RIGHT(D42,3))/100)=$B$2,IF(VLOOKUP(D42,登!$B$4:$I$103,2,0)=登!$B$1,1,IF(VLOOKUP(D42,登!$B$4:$I$103,2,0)=登!$B$1-1,2,IF(VLOOKUP(D42,登!$B$4:$I$103,2,0)=登!$B$1-2,3,"学年ミス"))),"番号ミス"))</f>
        <v/>
      </c>
      <c r="H42" s="160" t="str">
        <f t="shared" si="1"/>
        <v/>
      </c>
      <c r="I42" s="500"/>
      <c r="J42" s="501"/>
    </row>
    <row r="43" spans="1:12" ht="12.75" customHeight="1">
      <c r="A43" s="175" t="str">
        <f>IF($B$2=1,IF($D$41="","",VLOOKUP(登!$D$1,立男!$A$4:$I$100,4,0)+900),IF($D$41="","",VLOOKUP(登!$D$1,立女!$A$4:$I$100,4,0)+900))</f>
        <v/>
      </c>
      <c r="B43" s="176" t="s">
        <v>21</v>
      </c>
      <c r="C43" s="187" t="str">
        <f>IF(D43="","",登!$F$1)</f>
        <v/>
      </c>
      <c r="D43" s="66"/>
      <c r="E43" s="187">
        <v>26</v>
      </c>
      <c r="F43" s="188" t="str">
        <f>IF(D43="","",IF(COUNTIF($D$13:$D$20,"")&gt;0,"団体から入力",IF(COUNTIF($D$26:D43,"")&gt;0,"上から詰めて入力",IF(INT(VALUE(RIGHT(D43,3))/100)=$B$2,VLOOKUP(D43,登!$B$4:$I$103,7,0),"部員番号入力ミス"))))</f>
        <v/>
      </c>
      <c r="G43" s="181" t="str">
        <f>IF(D43="","",IF(INT(VALUE(RIGHT(D43,3))/100)=$B$2,IF(VLOOKUP(D43,登!$B$4:$I$103,2,0)=登!$B$1,1,IF(VLOOKUP(D43,登!$B$4:$I$103,2,0)=登!$B$1-1,2,IF(VLOOKUP(D43,登!$B$4:$I$103,2,0)=登!$B$1-2,3,"学年ミス"))),"番号ミス"))</f>
        <v/>
      </c>
      <c r="H43" s="175" t="str">
        <f t="shared" si="1"/>
        <v/>
      </c>
      <c r="I43" s="502"/>
      <c r="J43" s="503"/>
    </row>
    <row r="44" spans="1:12" ht="12.75" customHeight="1">
      <c r="A44" s="154" t="str">
        <f>IF($B$2=1,IF($D$44="","",VLOOKUP(登!$D$1,立男!$A$4:$I$100,4,0)+1000),IF($D$44="","",VLOOKUP(登!$D$1,立女!$A$4:$I$100,4,0)+1000))</f>
        <v/>
      </c>
      <c r="B44" s="155" t="s">
        <v>21</v>
      </c>
      <c r="C44" s="185" t="str">
        <f>IF(D44="","",登!$F$1)</f>
        <v/>
      </c>
      <c r="D44" s="63"/>
      <c r="E44" s="185">
        <v>27</v>
      </c>
      <c r="F44" s="158" t="str">
        <f>IF(D44="","",IF(COUNTIF($D$13:$D$20,"")&gt;0,"団体から入力",IF(COUNTIF($D$26:D44,"")&gt;0,"上から詰めて入力",IF(INT(VALUE(RIGHT(D44,3))/100)=$B$2,VLOOKUP(D44,登!$B$4:$I$103,7,0),"部員番号入力ミス"))))</f>
        <v/>
      </c>
      <c r="G44" s="159" t="str">
        <f>IF(D44="","",IF(INT(VALUE(RIGHT(D44,3))/100)=$B$2,IF(VLOOKUP(D44,登!$B$4:$I$103,2,0)=登!$B$1,1,IF(VLOOKUP(D44,登!$B$4:$I$103,2,0)=登!$B$1-1,2,IF(VLOOKUP(D44,登!$B$4:$I$103,2,0)=登!$B$1-2,3,"学年ミス"))),"番号ミス"))</f>
        <v/>
      </c>
      <c r="H44" s="154" t="str">
        <f t="shared" si="1"/>
        <v/>
      </c>
      <c r="I44" s="496"/>
      <c r="J44" s="497"/>
    </row>
    <row r="45" spans="1:12" ht="12.75" customHeight="1">
      <c r="A45" s="160" t="str">
        <f>IF($B$2=1,IF($D$44="","",VLOOKUP(登!$D$1,立男!$A$4:$I$100,4,0)+1000),IF($D$44="","",VLOOKUP(登!$D$1,立女!$A$4:$I$100,4,0)+1000))</f>
        <v/>
      </c>
      <c r="B45" s="161" t="s">
        <v>21</v>
      </c>
      <c r="C45" s="186" t="str">
        <f>IF(D45="","",登!$F$1)</f>
        <v/>
      </c>
      <c r="D45" s="64"/>
      <c r="E45" s="186">
        <v>28</v>
      </c>
      <c r="F45" s="164" t="str">
        <f>IF(D45="","",IF(COUNTIF($D$13:$D$20,"")&gt;0,"団体から入力",IF(COUNTIF($D$26:D45,"")&gt;0,"上から詰めて入力",IF(INT(VALUE(RIGHT(D45,3))/100)=$B$2,VLOOKUP(D45,登!$B$4:$I$103,7,0),"部員番号入力ミス"))))</f>
        <v/>
      </c>
      <c r="G45" s="165" t="str">
        <f>IF(D45="","",IF(INT(VALUE(RIGHT(D45,3))/100)=$B$2,IF(VLOOKUP(D45,登!$B$4:$I$103,2,0)=登!$B$1,1,IF(VLOOKUP(D45,登!$B$4:$I$103,2,0)=登!$B$1-1,2,IF(VLOOKUP(D45,登!$B$4:$I$103,2,0)=登!$B$1-2,3,"学年ミス"))),"番号ミス"))</f>
        <v/>
      </c>
      <c r="H45" s="160" t="str">
        <f t="shared" si="1"/>
        <v/>
      </c>
      <c r="I45" s="500"/>
      <c r="J45" s="501"/>
    </row>
    <row r="46" spans="1:12" ht="12.75" customHeight="1">
      <c r="A46" s="175" t="str">
        <f>IF($B$2=1,IF($D$44="","",VLOOKUP(登!$D$1,立男!$A$4:$I$100,4,0)+1000),IF($D$44="","",VLOOKUP(登!$D$1,立女!$A$4:$I$100,4,0)+1000))</f>
        <v/>
      </c>
      <c r="B46" s="176" t="s">
        <v>21</v>
      </c>
      <c r="C46" s="187" t="str">
        <f>IF(D46="","",登!$F$1)</f>
        <v/>
      </c>
      <c r="D46" s="66"/>
      <c r="E46" s="187">
        <v>29</v>
      </c>
      <c r="F46" s="188" t="str">
        <f>IF(D46="","",IF(COUNTIF($D$13:$D$20,"")&gt;0,"団体から入力",IF(COUNTIF($D$26:D46,"")&gt;0,"上から詰めて入力",IF(INT(VALUE(RIGHT(D46,3))/100)=$B$2,VLOOKUP(D46,登!$B$4:$I$103,7,0),"部員番号入力ミス"))))</f>
        <v/>
      </c>
      <c r="G46" s="181" t="str">
        <f>IF(D46="","",IF(INT(VALUE(RIGHT(D46,3))/100)=$B$2,IF(VLOOKUP(D46,登!$B$4:$I$103,2,0)=登!$B$1,1,IF(VLOOKUP(D46,登!$B$4:$I$103,2,0)=登!$B$1-1,2,IF(VLOOKUP(D46,登!$B$4:$I$103,2,0)=登!$B$1-2,3,"学年ミス"))),"番号ミス"))</f>
        <v/>
      </c>
      <c r="H46" s="175" t="str">
        <f t="shared" si="1"/>
        <v/>
      </c>
      <c r="I46" s="502"/>
      <c r="J46" s="503"/>
    </row>
    <row r="47" spans="1:12" ht="12.75" customHeight="1">
      <c r="A47" s="154" t="str">
        <f>IF($B$2=1,IF($D$47="","",VLOOKUP(登!$D$1,立男!$A$4:$I$100,4,0)+1100),IF($D$47="","",VLOOKUP(登!$D$1,立女!$A$4:$I$100,4,0)+1100))</f>
        <v/>
      </c>
      <c r="B47" s="155" t="s">
        <v>21</v>
      </c>
      <c r="C47" s="185" t="str">
        <f>IF(D47="","",登!$F$1)</f>
        <v/>
      </c>
      <c r="D47" s="63"/>
      <c r="E47" s="185">
        <v>30</v>
      </c>
      <c r="F47" s="158" t="str">
        <f>IF(D47="","",IF(COUNTIF($D$13:$D$20,"")&gt;0,"団体から入力",IF(COUNTIF($D$26:D47,"")&gt;0,"上から詰めて入力",IF(INT(VALUE(RIGHT(D47,3))/100)=$B$2,VLOOKUP(D47,登!$B$4:$I$103,7,0),"部員番号入力ミス"))))</f>
        <v/>
      </c>
      <c r="G47" s="159" t="str">
        <f>IF(D47="","",IF(INT(VALUE(RIGHT(D47,3))/100)=$B$2,IF(VLOOKUP(D47,登!$B$4:$I$103,2,0)=登!$B$1,1,IF(VLOOKUP(D47,登!$B$4:$I$103,2,0)=登!$B$1-1,2,IF(VLOOKUP(D47,登!$B$4:$I$103,2,0)=登!$B$1-2,3,"学年ミス"))),"番号ミス"))</f>
        <v/>
      </c>
      <c r="H47" s="154" t="str">
        <f t="shared" si="1"/>
        <v/>
      </c>
      <c r="I47" s="496"/>
      <c r="J47" s="497"/>
    </row>
    <row r="48" spans="1:12" ht="12.75" customHeight="1">
      <c r="A48" s="160" t="str">
        <f>IF($B$2=1,IF($D$47="","",VLOOKUP(登!$D$1,立男!$A$4:$I$100,4,0)+1100),IF($D$47="","",VLOOKUP(登!$D$1,立女!$A$4:$I$100,4,0)+1100))</f>
        <v/>
      </c>
      <c r="B48" s="161" t="s">
        <v>21</v>
      </c>
      <c r="C48" s="186" t="str">
        <f>IF(D48="","",登!$F$1)</f>
        <v/>
      </c>
      <c r="D48" s="64"/>
      <c r="E48" s="186">
        <v>31</v>
      </c>
      <c r="F48" s="164" t="str">
        <f>IF(D48="","",IF(COUNTIF($D$13:$D$20,"")&gt;0,"団体から入力",IF(COUNTIF($D$26:D48,"")&gt;0,"上から詰めて入力",IF(INT(VALUE(RIGHT(D48,3))/100)=$B$2,VLOOKUP(D48,登!$B$4:$I$103,7,0),"部員番号入力ミス"))))</f>
        <v/>
      </c>
      <c r="G48" s="165" t="str">
        <f>IF(D48="","",IF(INT(VALUE(RIGHT(D48,3))/100)=$B$2,IF(VLOOKUP(D48,登!$B$4:$I$103,2,0)=登!$B$1,1,IF(VLOOKUP(D48,登!$B$4:$I$103,2,0)=登!$B$1-1,2,IF(VLOOKUP(D48,登!$B$4:$I$103,2,0)=登!$B$1-2,3,"学年ミス"))),"番号ミス"))</f>
        <v/>
      </c>
      <c r="H48" s="160" t="str">
        <f t="shared" si="1"/>
        <v/>
      </c>
      <c r="I48" s="500"/>
      <c r="J48" s="501"/>
    </row>
    <row r="49" spans="1:11" ht="12.75" customHeight="1">
      <c r="A49" s="175" t="str">
        <f>IF($B$2=1,IF($D$47="","",VLOOKUP(登!$D$1,立男!$A$4:$I$100,4,0)+1100),IF($D$47="","",VLOOKUP(登!$D$1,立女!$A$4:$I$100,4,0)+1100))</f>
        <v/>
      </c>
      <c r="B49" s="176" t="s">
        <v>21</v>
      </c>
      <c r="C49" s="187" t="str">
        <f>IF(D49="","",登!$F$1)</f>
        <v/>
      </c>
      <c r="D49" s="66"/>
      <c r="E49" s="187">
        <v>32</v>
      </c>
      <c r="F49" s="188" t="str">
        <f>IF(D49="","",IF(COUNTIF($D$13:$D$20,"")&gt;0,"団体から入力",IF(COUNTIF($D$26:D49,"")&gt;0,"上から詰めて入力",IF(INT(VALUE(RIGHT(D49,3))/100)=$B$2,VLOOKUP(D49,登!$B$4:$I$103,7,0),"部員番号入力ミス"))))</f>
        <v/>
      </c>
      <c r="G49" s="181" t="str">
        <f>IF(D49="","",IF(INT(VALUE(RIGHT(D49,3))/100)=$B$2,IF(VLOOKUP(D49,登!$B$4:$I$103,2,0)=登!$B$1,1,IF(VLOOKUP(D49,登!$B$4:$I$103,2,0)=登!$B$1-1,2,IF(VLOOKUP(D49,登!$B$4:$I$103,2,0)=登!$B$1-2,3,"学年ミス"))),"番号ミス"))</f>
        <v/>
      </c>
      <c r="H49" s="175" t="str">
        <f t="shared" si="1"/>
        <v/>
      </c>
      <c r="I49" s="502"/>
      <c r="J49" s="503"/>
    </row>
    <row r="50" spans="1:11" ht="12.75" customHeight="1">
      <c r="A50" s="154" t="str">
        <f>IF($B$2=1,IF($D$50="","",VLOOKUP(登!$D$1,立男!$A$4:$I$100,4,0)+1200),IF($D$50="","",VLOOKUP(登!$D$1,立女!$A$4:$I$100,4,0)+1200))</f>
        <v/>
      </c>
      <c r="B50" s="155" t="s">
        <v>21</v>
      </c>
      <c r="C50" s="185" t="str">
        <f>IF(D50="","",登!$F$1)</f>
        <v/>
      </c>
      <c r="D50" s="63"/>
      <c r="E50" s="185">
        <v>33</v>
      </c>
      <c r="F50" s="158" t="str">
        <f>IF(D50="","",IF(COUNTIF($D$13:$D$20,"")&gt;0,"団体から入力",IF(COUNTIF($D$26:D50,"")&gt;0,"上から詰めて入力",IF(INT(VALUE(RIGHT(D50,3))/100)=$B$2,VLOOKUP(D50,登!$B$4:$I$103,7,0),"部員番号入力ミス"))))</f>
        <v/>
      </c>
      <c r="G50" s="159" t="str">
        <f>IF(D50="","",IF(INT(VALUE(RIGHT(D50,3))/100)=$B$2,IF(VLOOKUP(D50,登!$B$4:$I$103,2,0)=登!$B$1,1,IF(VLOOKUP(D50,登!$B$4:$I$103,2,0)=登!$B$1-1,2,IF(VLOOKUP(D50,登!$B$4:$I$103,2,0)=登!$B$1-2,3,"学年ミス"))),"番号ミス"))</f>
        <v/>
      </c>
      <c r="H50" s="154" t="str">
        <f t="shared" si="1"/>
        <v/>
      </c>
      <c r="I50" s="496"/>
      <c r="J50" s="497"/>
    </row>
    <row r="51" spans="1:11" ht="12.75" customHeight="1">
      <c r="A51" s="160" t="str">
        <f>IF($B$2=1,IF($D$50="","",VLOOKUP(登!$D$1,立男!$A$4:$I$100,4,0)+1200),IF($D$50="","",VLOOKUP(登!$D$1,立女!$A$4:$I$100,4,0)+1200))</f>
        <v/>
      </c>
      <c r="B51" s="161" t="s">
        <v>21</v>
      </c>
      <c r="C51" s="186" t="str">
        <f>IF(D51="","",登!$F$1)</f>
        <v/>
      </c>
      <c r="D51" s="64"/>
      <c r="E51" s="186">
        <v>34</v>
      </c>
      <c r="F51" s="164" t="str">
        <f>IF(D51="","",IF(COUNTIF($D$13:$D$20,"")&gt;0,"団体から入力",IF(COUNTIF($D$26:D51,"")&gt;0,"上から詰めて入力",IF(INT(VALUE(RIGHT(D51,3))/100)=$B$2,VLOOKUP(D51,登!$B$4:$I$103,7,0),"部員番号入力ミス"))))</f>
        <v/>
      </c>
      <c r="G51" s="165" t="str">
        <f>IF(D51="","",IF(INT(VALUE(RIGHT(D51,3))/100)=$B$2,IF(VLOOKUP(D51,登!$B$4:$I$103,2,0)=登!$B$1,1,IF(VLOOKUP(D51,登!$B$4:$I$103,2,0)=登!$B$1-1,2,IF(VLOOKUP(D51,登!$B$4:$I$103,2,0)=登!$B$1-2,3,"学年ミス"))),"番号ミス"))</f>
        <v/>
      </c>
      <c r="H51" s="160" t="str">
        <f t="shared" si="1"/>
        <v/>
      </c>
      <c r="I51" s="500"/>
      <c r="J51" s="501"/>
    </row>
    <row r="52" spans="1:11" ht="12.75" customHeight="1">
      <c r="A52" s="175" t="str">
        <f>IF($B$2=1,IF($D$50="","",VLOOKUP(登!$D$1,立男!$A$4:$I$100,4,0)+1200),IF($D$50="","",VLOOKUP(登!$D$1,立女!$A$4:$I$100,4,0)+1200))</f>
        <v/>
      </c>
      <c r="B52" s="176" t="s">
        <v>21</v>
      </c>
      <c r="C52" s="187" t="str">
        <f>IF(D52="","",登!$F$1)</f>
        <v/>
      </c>
      <c r="D52" s="66"/>
      <c r="E52" s="187">
        <v>35</v>
      </c>
      <c r="F52" s="188" t="str">
        <f>IF(D52="","",IF(COUNTIF($D$13:$D$20,"")&gt;0,"団体から入力",IF(COUNTIF($D$26:D52,"")&gt;0,"上から詰めて入力",IF(INT(VALUE(RIGHT(D52,3))/100)=$B$2,VLOOKUP(D52,登!$B$4:$I$103,7,0),"部員番号入力ミス"))))</f>
        <v/>
      </c>
      <c r="G52" s="181" t="str">
        <f>IF(D52="","",IF(INT(VALUE(RIGHT(D52,3))/100)=$B$2,IF(VLOOKUP(D52,登!$B$4:$I$103,2,0)=登!$B$1,1,IF(VLOOKUP(D52,登!$B$4:$I$103,2,0)=登!$B$1-1,2,IF(VLOOKUP(D52,登!$B$4:$I$103,2,0)=登!$B$1-2,3,"学年ミス"))),"番号ミス"))</f>
        <v/>
      </c>
      <c r="H52" s="175" t="str">
        <f t="shared" si="1"/>
        <v/>
      </c>
      <c r="I52" s="502"/>
      <c r="J52" s="503"/>
    </row>
    <row r="53" spans="1:11" ht="12.75" customHeight="1">
      <c r="A53" s="154" t="str">
        <f>IF($B$2=1,IF($D$53="","",VLOOKUP(登!$D$1,立男!$A$4:$I$100,4,0)+1300),IF($D$53="","",VLOOKUP(登!$D$1,立女!$A$4:$I$100,4,0)+1300))</f>
        <v/>
      </c>
      <c r="B53" s="155" t="s">
        <v>21</v>
      </c>
      <c r="C53" s="185" t="str">
        <f>IF(D53="","",登!$F$1)</f>
        <v/>
      </c>
      <c r="D53" s="63"/>
      <c r="E53" s="185">
        <v>36</v>
      </c>
      <c r="F53" s="158" t="str">
        <f>IF(D53="","",IF(COUNTIF($D$13:$D$20,"")&gt;0,"団体から入力",IF(COUNTIF($D$26:D53,"")&gt;0,"上から詰めて入力",IF(INT(VALUE(RIGHT(D53,3))/100)=$B$2,VLOOKUP(D53,登!$B$4:$I$103,7,0),"部員番号入力ミス"))))</f>
        <v/>
      </c>
      <c r="G53" s="159" t="str">
        <f>IF(D53="","",IF(INT(VALUE(RIGHT(D53,3))/100)=$B$2,IF(VLOOKUP(D53,登!$B$4:$I$103,2,0)=登!$B$1,1,IF(VLOOKUP(D53,登!$B$4:$I$103,2,0)=登!$B$1-1,2,IF(VLOOKUP(D53,登!$B$4:$I$103,2,0)=登!$B$1-2,3,"学年ミス"))),"番号ミス"))</f>
        <v/>
      </c>
      <c r="H53" s="154" t="str">
        <f t="shared" si="1"/>
        <v/>
      </c>
      <c r="I53" s="496"/>
      <c r="J53" s="497"/>
    </row>
    <row r="54" spans="1:11" ht="12.75" customHeight="1">
      <c r="A54" s="160" t="str">
        <f>IF($B$2=1,IF($D$53="","",VLOOKUP(登!$D$1,立男!$A$4:$I$100,4,0)+1300),IF($D$53="","",VLOOKUP(登!$D$1,立女!$A$4:$I$100,4,0)+1300))</f>
        <v/>
      </c>
      <c r="B54" s="161" t="s">
        <v>21</v>
      </c>
      <c r="C54" s="186" t="str">
        <f>IF(D54="","",登!$F$1)</f>
        <v/>
      </c>
      <c r="D54" s="64"/>
      <c r="E54" s="186">
        <v>37</v>
      </c>
      <c r="F54" s="164" t="str">
        <f>IF(D54="","",IF(COUNTIF($D$13:$D$20,"")&gt;0,"団体から入力",IF(COUNTIF($D$26:D54,"")&gt;0,"上から詰めて入力",IF(INT(VALUE(RIGHT(D54,3))/100)=$B$2,VLOOKUP(D54,登!$B$4:$I$103,7,0),"部員番号入力ミス"))))</f>
        <v/>
      </c>
      <c r="G54" s="165" t="str">
        <f>IF(D54="","",IF(INT(VALUE(RIGHT(D54,3))/100)=$B$2,IF(VLOOKUP(D54,登!$B$4:$I$103,2,0)=登!$B$1,1,IF(VLOOKUP(D54,登!$B$4:$I$103,2,0)=登!$B$1-1,2,IF(VLOOKUP(D54,登!$B$4:$I$103,2,0)=登!$B$1-2,3,"学年ミス"))),"番号ミス"))</f>
        <v/>
      </c>
      <c r="H54" s="160" t="str">
        <f t="shared" si="1"/>
        <v/>
      </c>
      <c r="I54" s="500"/>
      <c r="J54" s="501"/>
    </row>
    <row r="55" spans="1:11" ht="12.75" customHeight="1">
      <c r="A55" s="175" t="str">
        <f>IF($B$2=1,IF($D$53="","",VLOOKUP(登!$D$1,立男!$A$4:$I$100,4,0)+1300),IF($D$53="","",VLOOKUP(登!$D$1,立女!$A$4:$I$100,4,0)+1300))</f>
        <v/>
      </c>
      <c r="B55" s="176" t="s">
        <v>21</v>
      </c>
      <c r="C55" s="187" t="str">
        <f>IF(D55="","",登!$F$1)</f>
        <v/>
      </c>
      <c r="D55" s="66"/>
      <c r="E55" s="187">
        <v>38</v>
      </c>
      <c r="F55" s="188" t="str">
        <f>IF(D55="","",IF(COUNTIF($D$13:$D$20,"")&gt;0,"団体から入力",IF(COUNTIF($D$26:D55,"")&gt;0,"上から詰めて入力",IF(INT(VALUE(RIGHT(D55,3))/100)=$B$2,VLOOKUP(D55,登!$B$4:$I$103,7,0),"部員番号入力ミス"))))</f>
        <v/>
      </c>
      <c r="G55" s="181" t="str">
        <f>IF(D55="","",IF(INT(VALUE(RIGHT(D55,3))/100)=$B$2,IF(VLOOKUP(D55,登!$B$4:$I$103,2,0)=登!$B$1,1,IF(VLOOKUP(D55,登!$B$4:$I$103,2,0)=登!$B$1-1,2,IF(VLOOKUP(D55,登!$B$4:$I$103,2,0)=登!$B$1-2,3,"学年ミス"))),"番号ミス"))</f>
        <v/>
      </c>
      <c r="H55" s="175" t="str">
        <f t="shared" si="1"/>
        <v/>
      </c>
      <c r="I55" s="502"/>
      <c r="J55" s="503"/>
    </row>
    <row r="56" spans="1:11" ht="12.75" customHeight="1"/>
    <row r="57" spans="1:11" s="75" customFormat="1" ht="12.75" customHeight="1">
      <c r="A57" s="410" t="s">
        <v>406</v>
      </c>
      <c r="B57" s="410"/>
      <c r="C57" s="410"/>
      <c r="D57" s="410"/>
      <c r="E57" s="407">
        <f>D7</f>
        <v>43734</v>
      </c>
      <c r="F57" s="408"/>
    </row>
    <row r="58" spans="1:11" s="75" customFormat="1" ht="12.75" customHeight="1">
      <c r="A58" s="344"/>
      <c r="B58" s="344"/>
      <c r="C58" s="344"/>
      <c r="D58" s="344"/>
      <c r="E58" s="189"/>
      <c r="F58" s="189"/>
    </row>
    <row r="59" spans="1:11" s="75" customFormat="1" ht="12.75" customHeight="1">
      <c r="A59" s="344"/>
      <c r="B59" s="344"/>
      <c r="C59" s="344"/>
      <c r="D59" s="344"/>
    </row>
    <row r="60" spans="1:11" s="75" customFormat="1" ht="12.75" customHeight="1">
      <c r="A60" s="189" t="s">
        <v>507</v>
      </c>
      <c r="B60" s="409" t="str">
        <f>IF(登!$D$1="",""," "&amp;VLOOKUP(登!$D$1,名!$G$2:$J$54,3,0))</f>
        <v/>
      </c>
      <c r="C60" s="409"/>
      <c r="D60" s="409"/>
      <c r="E60" s="189" t="s">
        <v>199</v>
      </c>
      <c r="F60" s="241" t="s">
        <v>529</v>
      </c>
      <c r="G60" s="352" t="s">
        <v>511</v>
      </c>
    </row>
    <row r="61" spans="1:11" s="75" customFormat="1" ht="12.75" customHeight="1">
      <c r="H61" s="74"/>
    </row>
    <row r="62" spans="1:11" s="75" customFormat="1" ht="12.75" customHeight="1">
      <c r="H62" s="74"/>
    </row>
    <row r="63" spans="1:11" s="75" customFormat="1" ht="12.75" customHeight="1">
      <c r="A63" s="189" t="s">
        <v>510</v>
      </c>
      <c r="B63" s="409" t="str">
        <f>IF(登!$D$1="",""," "&amp;VLOOKUP(登!$D$1,名!$G$2:$J$54,4,0))</f>
        <v/>
      </c>
      <c r="C63" s="409"/>
      <c r="D63" s="409"/>
      <c r="E63" s="189" t="s">
        <v>509</v>
      </c>
      <c r="F63" s="241" t="s">
        <v>529</v>
      </c>
      <c r="G63" s="352" t="s">
        <v>511</v>
      </c>
      <c r="H63" s="74"/>
      <c r="K63" s="190"/>
    </row>
    <row r="64" spans="1:11" ht="12.75" customHeight="1"/>
    <row r="65" spans="1:10" s="191" customFormat="1" ht="12.75" customHeight="1">
      <c r="H65" s="192"/>
    </row>
    <row r="66" spans="1:10" s="191" customFormat="1" ht="22.5" customHeight="1">
      <c r="B66" s="346">
        <f>B2</f>
        <v>2</v>
      </c>
      <c r="C66" s="398" t="str">
        <f>C2</f>
        <v>令和元年度県高校弓道地区大会（西毛）</v>
      </c>
      <c r="D66" s="399"/>
      <c r="E66" s="399"/>
      <c r="F66" s="399"/>
      <c r="G66" s="400"/>
      <c r="H66" s="192"/>
    </row>
    <row r="67" spans="1:10" s="191" customFormat="1" ht="12.75" customHeight="1">
      <c r="B67" s="193"/>
      <c r="C67" s="193"/>
      <c r="D67" s="194"/>
      <c r="E67" s="194"/>
      <c r="F67" s="194"/>
      <c r="G67" s="195"/>
      <c r="H67" s="192"/>
    </row>
    <row r="68" spans="1:10" s="191" customFormat="1" ht="12.75" customHeight="1">
      <c r="B68" s="401" t="s">
        <v>11</v>
      </c>
      <c r="C68" s="401"/>
      <c r="D68" s="402" t="str">
        <f>D4</f>
        <v>○　○　○　○</v>
      </c>
      <c r="E68" s="403"/>
      <c r="F68" s="404"/>
      <c r="G68" s="314"/>
      <c r="H68" s="246"/>
    </row>
    <row r="69" spans="1:10" s="191" customFormat="1" ht="12.75" customHeight="1">
      <c r="B69" s="193"/>
      <c r="C69" s="193"/>
      <c r="D69" s="194"/>
      <c r="E69" s="194"/>
      <c r="F69" s="194"/>
      <c r="G69" s="194"/>
      <c r="H69" s="192"/>
    </row>
    <row r="70" spans="1:10" s="191" customFormat="1" ht="12.75" customHeight="1">
      <c r="B70" s="388" t="str">
        <f>B6</f>
        <v>大会番号</v>
      </c>
      <c r="C70" s="388"/>
      <c r="D70" s="397">
        <f>D6</f>
        <v>11</v>
      </c>
      <c r="E70" s="397"/>
      <c r="F70" s="397"/>
      <c r="G70" s="397"/>
      <c r="H70" s="192"/>
      <c r="I70" s="197"/>
    </row>
    <row r="71" spans="1:10" s="191" customFormat="1" ht="12.75" customHeight="1">
      <c r="B71" s="388" t="str">
        <f t="shared" ref="B71:B73" si="2">B7</f>
        <v>参加申込締切</v>
      </c>
      <c r="C71" s="388"/>
      <c r="D71" s="389">
        <f>D7</f>
        <v>43734</v>
      </c>
      <c r="E71" s="390"/>
      <c r="F71" s="391" t="str">
        <f>F7</f>
        <v>木曜日　１６時</v>
      </c>
      <c r="G71" s="392"/>
      <c r="H71" s="192"/>
      <c r="I71" s="197"/>
    </row>
    <row r="72" spans="1:10" s="191" customFormat="1" ht="12.75" customHeight="1">
      <c r="B72" s="388" t="str">
        <f t="shared" si="2"/>
        <v>大会開催日</v>
      </c>
      <c r="C72" s="388"/>
      <c r="D72" s="389">
        <f>D8</f>
        <v>43743</v>
      </c>
      <c r="E72" s="390"/>
      <c r="F72" s="391" t="str">
        <f>F8</f>
        <v>土曜日</v>
      </c>
      <c r="G72" s="392"/>
      <c r="H72" s="192"/>
      <c r="I72" s="197"/>
    </row>
    <row r="73" spans="1:10" s="191" customFormat="1" ht="12.75" customHeight="1">
      <c r="B73" s="388" t="str">
        <f t="shared" si="2"/>
        <v>申込先</v>
      </c>
      <c r="C73" s="388"/>
      <c r="D73" s="393" t="str">
        <f>D9</f>
        <v>各地区委員のﾒｰﾙｱﾄﾞﾚｽ・FAXに送信してください。</v>
      </c>
      <c r="E73" s="454"/>
      <c r="F73" s="454"/>
      <c r="G73" s="394"/>
      <c r="H73" s="192"/>
      <c r="I73" s="197"/>
    </row>
    <row r="74" spans="1:10" s="191" customFormat="1" ht="12.75" customHeight="1">
      <c r="B74" s="197" t="str">
        <f>B10</f>
        <v>（弓のダブったもの同士が近い番号にならないように考えてください）</v>
      </c>
      <c r="C74" s="197"/>
      <c r="D74" s="195"/>
      <c r="E74" s="195"/>
      <c r="F74" s="195"/>
      <c r="G74" s="195"/>
      <c r="H74" s="192"/>
      <c r="I74" s="197"/>
    </row>
    <row r="75" spans="1:10" s="191" customFormat="1" ht="22.5" customHeight="1">
      <c r="B75" s="384" t="str">
        <f>B11</f>
        <v>女　子　団　体　参　加　申　込　書</v>
      </c>
      <c r="C75" s="384"/>
      <c r="D75" s="384"/>
      <c r="E75" s="384"/>
      <c r="F75" s="384"/>
      <c r="G75" s="384"/>
      <c r="H75" s="192"/>
      <c r="I75" s="455" t="s">
        <v>53</v>
      </c>
      <c r="J75" s="456"/>
    </row>
    <row r="76" spans="1:10" s="191" customFormat="1" ht="12.75" customHeight="1">
      <c r="A76" s="346" t="str">
        <f>IF(A12="","",A12)</f>
        <v>立順</v>
      </c>
      <c r="B76" s="198" t="str">
        <f t="shared" ref="B76:J76" si="3">IF(B12="","",B12)</f>
        <v>チーム</v>
      </c>
      <c r="C76" s="199" t="str">
        <f t="shared" si="3"/>
        <v>校　名</v>
      </c>
      <c r="D76" s="200" t="str">
        <f t="shared" si="3"/>
        <v>登録番号</v>
      </c>
      <c r="E76" s="201" t="str">
        <f t="shared" si="3"/>
        <v>立　順</v>
      </c>
      <c r="F76" s="202" t="str">
        <f t="shared" si="3"/>
        <v>選　　手　　名</v>
      </c>
      <c r="G76" s="203" t="str">
        <f t="shared" si="3"/>
        <v>学　年</v>
      </c>
      <c r="H76" s="346" t="str">
        <f t="shared" si="3"/>
        <v>重複ﾁｪｯｸ</v>
      </c>
      <c r="I76" s="346" t="str">
        <f t="shared" si="3"/>
        <v>ありなし</v>
      </c>
      <c r="J76" s="346" t="str">
        <f t="shared" si="3"/>
        <v>だぶる立順</v>
      </c>
    </row>
    <row r="77" spans="1:10" s="191" customFormat="1" ht="12.75" customHeight="1">
      <c r="A77" s="204" t="str">
        <f t="shared" ref="A77:J86" si="4">IF(A13="","",A13)</f>
        <v/>
      </c>
      <c r="B77" s="205" t="str">
        <f t="shared" si="4"/>
        <v>Ａ</v>
      </c>
      <c r="C77" s="206" t="str">
        <f t="shared" si="4"/>
        <v/>
      </c>
      <c r="D77" s="139" t="str">
        <f t="shared" si="4"/>
        <v/>
      </c>
      <c r="E77" s="207">
        <f t="shared" si="4"/>
        <v>1</v>
      </c>
      <c r="F77" s="208" t="str">
        <f t="shared" si="4"/>
        <v/>
      </c>
      <c r="G77" s="209" t="str">
        <f t="shared" si="4"/>
        <v/>
      </c>
      <c r="H77" s="204" t="str">
        <f t="shared" si="4"/>
        <v/>
      </c>
      <c r="I77" s="315" t="str">
        <f t="shared" si="4"/>
        <v/>
      </c>
      <c r="J77" s="316" t="str">
        <f t="shared" si="4"/>
        <v/>
      </c>
    </row>
    <row r="78" spans="1:10" s="191" customFormat="1" ht="12.75" customHeight="1">
      <c r="A78" s="317" t="str">
        <f t="shared" si="4"/>
        <v/>
      </c>
      <c r="B78" s="318" t="str">
        <f t="shared" si="4"/>
        <v>Ａ</v>
      </c>
      <c r="C78" s="319" t="str">
        <f t="shared" si="4"/>
        <v/>
      </c>
      <c r="D78" s="320" t="str">
        <f t="shared" si="4"/>
        <v/>
      </c>
      <c r="E78" s="321">
        <f t="shared" si="4"/>
        <v>2</v>
      </c>
      <c r="F78" s="322" t="str">
        <f t="shared" si="4"/>
        <v/>
      </c>
      <c r="G78" s="323" t="str">
        <f t="shared" si="4"/>
        <v/>
      </c>
      <c r="H78" s="317" t="str">
        <f t="shared" si="4"/>
        <v/>
      </c>
      <c r="I78" s="324" t="str">
        <f t="shared" si="4"/>
        <v/>
      </c>
      <c r="J78" s="325" t="str">
        <f t="shared" si="4"/>
        <v/>
      </c>
    </row>
    <row r="79" spans="1:10" s="191" customFormat="1" ht="12.75" customHeight="1">
      <c r="A79" s="210" t="str">
        <f t="shared" si="4"/>
        <v/>
      </c>
      <c r="B79" s="211" t="str">
        <f t="shared" si="4"/>
        <v>Ａ</v>
      </c>
      <c r="C79" s="212" t="str">
        <f t="shared" si="4"/>
        <v/>
      </c>
      <c r="D79" s="140" t="str">
        <f t="shared" si="4"/>
        <v/>
      </c>
      <c r="E79" s="213">
        <f t="shared" si="4"/>
        <v>3</v>
      </c>
      <c r="F79" s="214" t="str">
        <f t="shared" si="4"/>
        <v/>
      </c>
      <c r="G79" s="215" t="str">
        <f t="shared" si="4"/>
        <v/>
      </c>
      <c r="H79" s="210" t="str">
        <f t="shared" si="4"/>
        <v/>
      </c>
      <c r="I79" s="326" t="str">
        <f t="shared" si="4"/>
        <v/>
      </c>
      <c r="J79" s="327" t="str">
        <f t="shared" si="4"/>
        <v/>
      </c>
    </row>
    <row r="80" spans="1:10" s="191" customFormat="1" ht="12.75" customHeight="1">
      <c r="A80" s="225" t="str">
        <f t="shared" si="4"/>
        <v/>
      </c>
      <c r="B80" s="226" t="str">
        <f t="shared" si="4"/>
        <v>Ａ</v>
      </c>
      <c r="C80" s="227" t="str">
        <f t="shared" si="4"/>
        <v/>
      </c>
      <c r="D80" s="141" t="str">
        <f t="shared" si="4"/>
        <v/>
      </c>
      <c r="E80" s="228">
        <f t="shared" si="4"/>
        <v>4</v>
      </c>
      <c r="F80" s="237" t="str">
        <f t="shared" si="4"/>
        <v/>
      </c>
      <c r="G80" s="230" t="str">
        <f t="shared" si="4"/>
        <v/>
      </c>
      <c r="H80" s="225" t="str">
        <f t="shared" si="4"/>
        <v/>
      </c>
      <c r="I80" s="328" t="str">
        <f t="shared" si="4"/>
        <v/>
      </c>
      <c r="J80" s="329" t="str">
        <f t="shared" si="4"/>
        <v/>
      </c>
    </row>
    <row r="81" spans="1:10" s="191" customFormat="1" ht="12.75" customHeight="1">
      <c r="A81" s="204" t="str">
        <f t="shared" si="4"/>
        <v/>
      </c>
      <c r="B81" s="205" t="str">
        <f t="shared" si="4"/>
        <v>Ｂ</v>
      </c>
      <c r="C81" s="206" t="str">
        <f t="shared" si="4"/>
        <v/>
      </c>
      <c r="D81" s="139" t="str">
        <f t="shared" si="4"/>
        <v/>
      </c>
      <c r="E81" s="207">
        <f t="shared" si="4"/>
        <v>5</v>
      </c>
      <c r="F81" s="208" t="str">
        <f t="shared" si="4"/>
        <v/>
      </c>
      <c r="G81" s="209" t="str">
        <f t="shared" si="4"/>
        <v/>
      </c>
      <c r="H81" s="204" t="str">
        <f t="shared" si="4"/>
        <v/>
      </c>
      <c r="I81" s="315" t="str">
        <f t="shared" si="4"/>
        <v/>
      </c>
      <c r="J81" s="316" t="str">
        <f t="shared" si="4"/>
        <v/>
      </c>
    </row>
    <row r="82" spans="1:10" s="191" customFormat="1" ht="12.75" customHeight="1">
      <c r="A82" s="317" t="str">
        <f t="shared" si="4"/>
        <v/>
      </c>
      <c r="B82" s="318" t="str">
        <f t="shared" si="4"/>
        <v>Ｂ</v>
      </c>
      <c r="C82" s="319" t="str">
        <f t="shared" si="4"/>
        <v/>
      </c>
      <c r="D82" s="320" t="str">
        <f t="shared" si="4"/>
        <v/>
      </c>
      <c r="E82" s="321">
        <f t="shared" si="4"/>
        <v>6</v>
      </c>
      <c r="F82" s="322" t="str">
        <f t="shared" si="4"/>
        <v/>
      </c>
      <c r="G82" s="323" t="str">
        <f t="shared" si="4"/>
        <v/>
      </c>
      <c r="H82" s="317" t="str">
        <f t="shared" si="4"/>
        <v/>
      </c>
      <c r="I82" s="324" t="str">
        <f t="shared" si="4"/>
        <v/>
      </c>
      <c r="J82" s="325" t="str">
        <f t="shared" si="4"/>
        <v/>
      </c>
    </row>
    <row r="83" spans="1:10" s="191" customFormat="1" ht="12.75" customHeight="1">
      <c r="A83" s="210" t="str">
        <f t="shared" si="4"/>
        <v/>
      </c>
      <c r="B83" s="211" t="str">
        <f t="shared" si="4"/>
        <v>Ｂ</v>
      </c>
      <c r="C83" s="212" t="str">
        <f t="shared" si="4"/>
        <v/>
      </c>
      <c r="D83" s="140" t="str">
        <f t="shared" si="4"/>
        <v/>
      </c>
      <c r="E83" s="213">
        <f t="shared" si="4"/>
        <v>7</v>
      </c>
      <c r="F83" s="214" t="str">
        <f t="shared" si="4"/>
        <v/>
      </c>
      <c r="G83" s="215" t="str">
        <f t="shared" si="4"/>
        <v/>
      </c>
      <c r="H83" s="210" t="str">
        <f t="shared" si="4"/>
        <v/>
      </c>
      <c r="I83" s="326" t="str">
        <f t="shared" si="4"/>
        <v/>
      </c>
      <c r="J83" s="327" t="str">
        <f t="shared" si="4"/>
        <v/>
      </c>
    </row>
    <row r="84" spans="1:10" s="191" customFormat="1" ht="12.75" customHeight="1">
      <c r="A84" s="225" t="str">
        <f t="shared" si="4"/>
        <v/>
      </c>
      <c r="B84" s="226" t="str">
        <f t="shared" si="4"/>
        <v>Ｂ</v>
      </c>
      <c r="C84" s="227" t="str">
        <f t="shared" si="4"/>
        <v/>
      </c>
      <c r="D84" s="141" t="str">
        <f t="shared" si="4"/>
        <v/>
      </c>
      <c r="E84" s="228">
        <f t="shared" si="4"/>
        <v>8</v>
      </c>
      <c r="F84" s="237" t="str">
        <f t="shared" si="4"/>
        <v/>
      </c>
      <c r="G84" s="230" t="str">
        <f t="shared" si="4"/>
        <v/>
      </c>
      <c r="H84" s="225" t="str">
        <f t="shared" si="4"/>
        <v/>
      </c>
      <c r="I84" s="328" t="str">
        <f t="shared" si="4"/>
        <v/>
      </c>
      <c r="J84" s="329" t="str">
        <f t="shared" si="4"/>
        <v/>
      </c>
    </row>
    <row r="85" spans="1:10" s="191" customFormat="1" ht="12.75" customHeight="1">
      <c r="A85" s="204" t="str">
        <f t="shared" si="4"/>
        <v/>
      </c>
      <c r="B85" s="205" t="str">
        <f t="shared" si="4"/>
        <v>Ａ</v>
      </c>
      <c r="C85" s="206" t="str">
        <f t="shared" si="4"/>
        <v/>
      </c>
      <c r="D85" s="139" t="str">
        <f t="shared" si="4"/>
        <v/>
      </c>
      <c r="E85" s="207">
        <f t="shared" si="4"/>
        <v>4</v>
      </c>
      <c r="F85" s="223" t="str">
        <f t="shared" si="4"/>
        <v/>
      </c>
      <c r="G85" s="209" t="str">
        <f t="shared" si="4"/>
        <v/>
      </c>
      <c r="H85" s="224" t="str">
        <f t="shared" si="4"/>
        <v/>
      </c>
      <c r="I85" s="316" t="str">
        <f t="shared" si="4"/>
        <v/>
      </c>
      <c r="J85" s="330" t="str">
        <f t="shared" si="4"/>
        <v/>
      </c>
    </row>
    <row r="86" spans="1:10" s="191" customFormat="1" ht="12.75" customHeight="1">
      <c r="A86" s="225" t="str">
        <f t="shared" si="4"/>
        <v/>
      </c>
      <c r="B86" s="226" t="str">
        <f t="shared" si="4"/>
        <v>Ｂ</v>
      </c>
      <c r="C86" s="227" t="str">
        <f t="shared" si="4"/>
        <v/>
      </c>
      <c r="D86" s="141" t="str">
        <f t="shared" si="4"/>
        <v/>
      </c>
      <c r="E86" s="228">
        <f t="shared" si="4"/>
        <v>8</v>
      </c>
      <c r="F86" s="229" t="str">
        <f t="shared" si="4"/>
        <v/>
      </c>
      <c r="G86" s="230" t="str">
        <f t="shared" si="4"/>
        <v/>
      </c>
      <c r="H86" s="231" t="str">
        <f t="shared" si="4"/>
        <v/>
      </c>
      <c r="I86" s="329" t="str">
        <f t="shared" si="4"/>
        <v/>
      </c>
      <c r="J86" s="331" t="str">
        <f t="shared" si="4"/>
        <v/>
      </c>
    </row>
    <row r="87" spans="1:10" s="191" customFormat="1" ht="12.75" customHeight="1">
      <c r="B87" s="247" t="str">
        <f>B23</f>
        <v>（４はＡチーム補欠、８はＢチーム補欠です）</v>
      </c>
      <c r="C87" s="246"/>
      <c r="D87" s="246"/>
      <c r="E87" s="246"/>
      <c r="F87" s="246"/>
      <c r="G87" s="246"/>
      <c r="H87" s="192"/>
    </row>
    <row r="88" spans="1:10" s="191" customFormat="1" ht="22.5" customHeight="1">
      <c r="B88" s="384" t="str">
        <f>IF(B66=1,"男　子　個　人　参　加　申　込　書","女　子　個　人　参　加　申　込　書")</f>
        <v>女　子　個　人　参　加　申　込　書</v>
      </c>
      <c r="C88" s="384"/>
      <c r="D88" s="384"/>
      <c r="E88" s="384"/>
      <c r="F88" s="384"/>
      <c r="G88" s="384"/>
      <c r="H88" s="192"/>
      <c r="I88" s="455" t="s">
        <v>53</v>
      </c>
      <c r="J88" s="456"/>
    </row>
    <row r="89" spans="1:10" s="191" customFormat="1" ht="12.75" customHeight="1">
      <c r="A89" s="346" t="str">
        <f>IF(A25="","",A25)</f>
        <v>立順</v>
      </c>
      <c r="B89" s="198" t="str">
        <f t="shared" ref="B89:J89" si="5">IF(B25="","",B25)</f>
        <v>チーム</v>
      </c>
      <c r="C89" s="202" t="str">
        <f t="shared" si="5"/>
        <v>校　名</v>
      </c>
      <c r="D89" s="200" t="str">
        <f t="shared" si="5"/>
        <v>登録番号</v>
      </c>
      <c r="E89" s="202" t="str">
        <f t="shared" si="5"/>
        <v>立　順</v>
      </c>
      <c r="F89" s="202" t="str">
        <f t="shared" si="5"/>
        <v>選　　手　　名</v>
      </c>
      <c r="G89" s="203" t="str">
        <f t="shared" si="5"/>
        <v>学　年</v>
      </c>
      <c r="H89" s="346" t="str">
        <f t="shared" si="5"/>
        <v>重複ﾁｪｯｸ</v>
      </c>
      <c r="I89" s="346" t="str">
        <f t="shared" si="5"/>
        <v>ありなし</v>
      </c>
      <c r="J89" s="346" t="str">
        <f t="shared" si="5"/>
        <v>だぶる立順</v>
      </c>
    </row>
    <row r="90" spans="1:10" s="191" customFormat="1" ht="12.75" customHeight="1">
      <c r="A90" s="204" t="str">
        <f t="shared" ref="A90:J105" si="6">IF(A26="","",A26)</f>
        <v/>
      </c>
      <c r="B90" s="205" t="str">
        <f t="shared" si="6"/>
        <v>個</v>
      </c>
      <c r="C90" s="234" t="str">
        <f t="shared" si="6"/>
        <v/>
      </c>
      <c r="D90" s="139" t="str">
        <f t="shared" si="6"/>
        <v/>
      </c>
      <c r="E90" s="234">
        <f t="shared" si="6"/>
        <v>9</v>
      </c>
      <c r="F90" s="208" t="str">
        <f t="shared" si="6"/>
        <v/>
      </c>
      <c r="G90" s="209" t="str">
        <f t="shared" si="6"/>
        <v/>
      </c>
      <c r="H90" s="204" t="str">
        <f t="shared" si="6"/>
        <v/>
      </c>
      <c r="I90" s="315" t="str">
        <f t="shared" si="6"/>
        <v/>
      </c>
      <c r="J90" s="316" t="str">
        <f t="shared" si="6"/>
        <v/>
      </c>
    </row>
    <row r="91" spans="1:10" s="191" customFormat="1" ht="12.75" customHeight="1">
      <c r="A91" s="210" t="str">
        <f t="shared" si="6"/>
        <v/>
      </c>
      <c r="B91" s="211" t="str">
        <f t="shared" si="6"/>
        <v>個</v>
      </c>
      <c r="C91" s="235" t="str">
        <f t="shared" si="6"/>
        <v/>
      </c>
      <c r="D91" s="140" t="str">
        <f t="shared" si="6"/>
        <v/>
      </c>
      <c r="E91" s="235">
        <f t="shared" si="6"/>
        <v>10</v>
      </c>
      <c r="F91" s="214" t="str">
        <f t="shared" si="6"/>
        <v/>
      </c>
      <c r="G91" s="215" t="str">
        <f t="shared" si="6"/>
        <v/>
      </c>
      <c r="H91" s="210" t="str">
        <f t="shared" si="6"/>
        <v/>
      </c>
      <c r="I91" s="326" t="str">
        <f t="shared" si="6"/>
        <v/>
      </c>
      <c r="J91" s="327" t="str">
        <f t="shared" si="6"/>
        <v/>
      </c>
    </row>
    <row r="92" spans="1:10" s="191" customFormat="1" ht="12.75" customHeight="1">
      <c r="A92" s="225" t="str">
        <f t="shared" si="6"/>
        <v/>
      </c>
      <c r="B92" s="226" t="str">
        <f t="shared" si="6"/>
        <v>個</v>
      </c>
      <c r="C92" s="236" t="str">
        <f t="shared" si="6"/>
        <v/>
      </c>
      <c r="D92" s="141" t="str">
        <f t="shared" si="6"/>
        <v/>
      </c>
      <c r="E92" s="236">
        <f t="shared" si="6"/>
        <v>11</v>
      </c>
      <c r="F92" s="237" t="str">
        <f t="shared" si="6"/>
        <v/>
      </c>
      <c r="G92" s="230" t="str">
        <f t="shared" si="6"/>
        <v/>
      </c>
      <c r="H92" s="225" t="str">
        <f t="shared" si="6"/>
        <v/>
      </c>
      <c r="I92" s="328" t="str">
        <f t="shared" si="6"/>
        <v/>
      </c>
      <c r="J92" s="329" t="str">
        <f t="shared" si="6"/>
        <v/>
      </c>
    </row>
    <row r="93" spans="1:10" s="191" customFormat="1" ht="12.75" customHeight="1">
      <c r="A93" s="204" t="str">
        <f t="shared" si="6"/>
        <v/>
      </c>
      <c r="B93" s="205" t="str">
        <f t="shared" si="6"/>
        <v>個</v>
      </c>
      <c r="C93" s="234" t="str">
        <f t="shared" si="6"/>
        <v/>
      </c>
      <c r="D93" s="139" t="str">
        <f t="shared" si="6"/>
        <v/>
      </c>
      <c r="E93" s="234">
        <f t="shared" si="6"/>
        <v>12</v>
      </c>
      <c r="F93" s="208" t="str">
        <f t="shared" si="6"/>
        <v/>
      </c>
      <c r="G93" s="209" t="str">
        <f t="shared" si="6"/>
        <v/>
      </c>
      <c r="H93" s="204" t="str">
        <f t="shared" si="6"/>
        <v/>
      </c>
      <c r="I93" s="315" t="str">
        <f t="shared" si="6"/>
        <v/>
      </c>
      <c r="J93" s="316" t="str">
        <f t="shared" si="6"/>
        <v/>
      </c>
    </row>
    <row r="94" spans="1:10" s="191" customFormat="1" ht="12.75" customHeight="1">
      <c r="A94" s="210" t="str">
        <f t="shared" si="6"/>
        <v/>
      </c>
      <c r="B94" s="211" t="str">
        <f t="shared" si="6"/>
        <v>個</v>
      </c>
      <c r="C94" s="235" t="str">
        <f t="shared" si="6"/>
        <v/>
      </c>
      <c r="D94" s="140" t="str">
        <f t="shared" si="6"/>
        <v/>
      </c>
      <c r="E94" s="235">
        <f t="shared" si="6"/>
        <v>13</v>
      </c>
      <c r="F94" s="214" t="str">
        <f t="shared" si="6"/>
        <v/>
      </c>
      <c r="G94" s="215" t="str">
        <f t="shared" si="6"/>
        <v/>
      </c>
      <c r="H94" s="210" t="str">
        <f t="shared" si="6"/>
        <v/>
      </c>
      <c r="I94" s="326" t="str">
        <f t="shared" si="6"/>
        <v/>
      </c>
      <c r="J94" s="327" t="str">
        <f t="shared" si="6"/>
        <v/>
      </c>
    </row>
    <row r="95" spans="1:10" s="191" customFormat="1" ht="12.75" customHeight="1">
      <c r="A95" s="225" t="str">
        <f t="shared" si="6"/>
        <v/>
      </c>
      <c r="B95" s="226" t="str">
        <f t="shared" si="6"/>
        <v>個</v>
      </c>
      <c r="C95" s="236" t="str">
        <f t="shared" si="6"/>
        <v/>
      </c>
      <c r="D95" s="141" t="str">
        <f t="shared" si="6"/>
        <v/>
      </c>
      <c r="E95" s="236">
        <f t="shared" si="6"/>
        <v>14</v>
      </c>
      <c r="F95" s="237" t="str">
        <f t="shared" si="6"/>
        <v/>
      </c>
      <c r="G95" s="230" t="str">
        <f t="shared" si="6"/>
        <v/>
      </c>
      <c r="H95" s="225" t="str">
        <f t="shared" si="6"/>
        <v/>
      </c>
      <c r="I95" s="328" t="str">
        <f t="shared" si="6"/>
        <v/>
      </c>
      <c r="J95" s="329" t="str">
        <f t="shared" si="6"/>
        <v/>
      </c>
    </row>
    <row r="96" spans="1:10" s="191" customFormat="1" ht="12.75" customHeight="1">
      <c r="A96" s="204" t="str">
        <f t="shared" si="6"/>
        <v/>
      </c>
      <c r="B96" s="205" t="str">
        <f t="shared" si="6"/>
        <v>個</v>
      </c>
      <c r="C96" s="234" t="str">
        <f t="shared" si="6"/>
        <v/>
      </c>
      <c r="D96" s="139" t="str">
        <f t="shared" si="6"/>
        <v/>
      </c>
      <c r="E96" s="234">
        <f t="shared" si="6"/>
        <v>15</v>
      </c>
      <c r="F96" s="208" t="str">
        <f t="shared" si="6"/>
        <v/>
      </c>
      <c r="G96" s="209" t="str">
        <f t="shared" si="6"/>
        <v/>
      </c>
      <c r="H96" s="204" t="str">
        <f t="shared" si="6"/>
        <v/>
      </c>
      <c r="I96" s="315" t="str">
        <f t="shared" si="6"/>
        <v/>
      </c>
      <c r="J96" s="316" t="str">
        <f t="shared" si="6"/>
        <v/>
      </c>
    </row>
    <row r="97" spans="1:12" s="191" customFormat="1" ht="12.75" customHeight="1">
      <c r="A97" s="210" t="str">
        <f t="shared" si="6"/>
        <v/>
      </c>
      <c r="B97" s="211" t="str">
        <f t="shared" si="6"/>
        <v>個</v>
      </c>
      <c r="C97" s="235" t="str">
        <f t="shared" si="6"/>
        <v/>
      </c>
      <c r="D97" s="140" t="str">
        <f t="shared" si="6"/>
        <v/>
      </c>
      <c r="E97" s="235">
        <f t="shared" si="6"/>
        <v>16</v>
      </c>
      <c r="F97" s="214" t="str">
        <f t="shared" si="6"/>
        <v/>
      </c>
      <c r="G97" s="215" t="str">
        <f t="shared" si="6"/>
        <v/>
      </c>
      <c r="H97" s="210" t="str">
        <f t="shared" si="6"/>
        <v/>
      </c>
      <c r="I97" s="326" t="str">
        <f t="shared" si="6"/>
        <v/>
      </c>
      <c r="J97" s="327" t="str">
        <f t="shared" si="6"/>
        <v/>
      </c>
    </row>
    <row r="98" spans="1:12" s="191" customFormat="1" ht="12.75" customHeight="1">
      <c r="A98" s="225" t="str">
        <f t="shared" si="6"/>
        <v/>
      </c>
      <c r="B98" s="226" t="str">
        <f t="shared" si="6"/>
        <v>個</v>
      </c>
      <c r="C98" s="236" t="str">
        <f t="shared" si="6"/>
        <v/>
      </c>
      <c r="D98" s="141" t="str">
        <f t="shared" si="6"/>
        <v/>
      </c>
      <c r="E98" s="236">
        <f t="shared" si="6"/>
        <v>17</v>
      </c>
      <c r="F98" s="237" t="str">
        <f t="shared" si="6"/>
        <v/>
      </c>
      <c r="G98" s="230" t="str">
        <f t="shared" si="6"/>
        <v/>
      </c>
      <c r="H98" s="225" t="str">
        <f t="shared" si="6"/>
        <v/>
      </c>
      <c r="I98" s="328" t="str">
        <f t="shared" si="6"/>
        <v/>
      </c>
      <c r="J98" s="329" t="str">
        <f t="shared" si="6"/>
        <v/>
      </c>
      <c r="L98" s="197"/>
    </row>
    <row r="99" spans="1:12" s="191" customFormat="1" ht="12.75" customHeight="1">
      <c r="A99" s="204" t="str">
        <f t="shared" si="6"/>
        <v/>
      </c>
      <c r="B99" s="205" t="str">
        <f t="shared" si="6"/>
        <v>個</v>
      </c>
      <c r="C99" s="234" t="str">
        <f t="shared" si="6"/>
        <v/>
      </c>
      <c r="D99" s="139" t="str">
        <f t="shared" si="6"/>
        <v/>
      </c>
      <c r="E99" s="234">
        <f t="shared" si="6"/>
        <v>18</v>
      </c>
      <c r="F99" s="208" t="str">
        <f t="shared" si="6"/>
        <v/>
      </c>
      <c r="G99" s="209" t="str">
        <f t="shared" si="6"/>
        <v/>
      </c>
      <c r="H99" s="204" t="str">
        <f t="shared" si="6"/>
        <v/>
      </c>
      <c r="I99" s="315" t="str">
        <f t="shared" si="6"/>
        <v/>
      </c>
      <c r="J99" s="316" t="str">
        <f t="shared" si="6"/>
        <v/>
      </c>
      <c r="L99" s="197"/>
    </row>
    <row r="100" spans="1:12" s="191" customFormat="1" ht="12.75" customHeight="1">
      <c r="A100" s="210" t="str">
        <f t="shared" si="6"/>
        <v/>
      </c>
      <c r="B100" s="211" t="str">
        <f t="shared" si="6"/>
        <v>個</v>
      </c>
      <c r="C100" s="235" t="str">
        <f t="shared" si="6"/>
        <v/>
      </c>
      <c r="D100" s="140" t="str">
        <f t="shared" si="6"/>
        <v/>
      </c>
      <c r="E100" s="235">
        <f t="shared" si="6"/>
        <v>19</v>
      </c>
      <c r="F100" s="214" t="str">
        <f t="shared" si="6"/>
        <v/>
      </c>
      <c r="G100" s="215" t="str">
        <f t="shared" si="6"/>
        <v/>
      </c>
      <c r="H100" s="210" t="str">
        <f t="shared" si="6"/>
        <v/>
      </c>
      <c r="I100" s="326" t="str">
        <f t="shared" si="6"/>
        <v/>
      </c>
      <c r="J100" s="327" t="str">
        <f t="shared" si="6"/>
        <v/>
      </c>
      <c r="L100" s="197"/>
    </row>
    <row r="101" spans="1:12" s="191" customFormat="1" ht="12.75" customHeight="1">
      <c r="A101" s="225" t="str">
        <f t="shared" si="6"/>
        <v/>
      </c>
      <c r="B101" s="226" t="str">
        <f t="shared" si="6"/>
        <v>個</v>
      </c>
      <c r="C101" s="236" t="str">
        <f t="shared" si="6"/>
        <v/>
      </c>
      <c r="D101" s="141" t="str">
        <f t="shared" si="6"/>
        <v/>
      </c>
      <c r="E101" s="236">
        <f t="shared" si="6"/>
        <v>20</v>
      </c>
      <c r="F101" s="237" t="str">
        <f t="shared" si="6"/>
        <v/>
      </c>
      <c r="G101" s="230" t="str">
        <f t="shared" si="6"/>
        <v/>
      </c>
      <c r="H101" s="225" t="str">
        <f t="shared" si="6"/>
        <v/>
      </c>
      <c r="I101" s="328" t="str">
        <f t="shared" si="6"/>
        <v/>
      </c>
      <c r="J101" s="329" t="str">
        <f t="shared" si="6"/>
        <v/>
      </c>
      <c r="L101" s="197"/>
    </row>
    <row r="102" spans="1:12" s="191" customFormat="1" ht="12.75" customHeight="1">
      <c r="A102" s="204" t="str">
        <f t="shared" si="6"/>
        <v/>
      </c>
      <c r="B102" s="205" t="str">
        <f t="shared" si="6"/>
        <v>個</v>
      </c>
      <c r="C102" s="234" t="str">
        <f t="shared" si="6"/>
        <v/>
      </c>
      <c r="D102" s="139" t="str">
        <f t="shared" si="6"/>
        <v/>
      </c>
      <c r="E102" s="234">
        <f t="shared" si="6"/>
        <v>21</v>
      </c>
      <c r="F102" s="208" t="str">
        <f t="shared" si="6"/>
        <v/>
      </c>
      <c r="G102" s="209" t="str">
        <f t="shared" si="6"/>
        <v/>
      </c>
      <c r="H102" s="204" t="str">
        <f t="shared" si="6"/>
        <v/>
      </c>
      <c r="I102" s="315" t="str">
        <f t="shared" si="6"/>
        <v/>
      </c>
      <c r="J102" s="316" t="str">
        <f t="shared" si="6"/>
        <v/>
      </c>
      <c r="L102" s="197"/>
    </row>
    <row r="103" spans="1:12" s="191" customFormat="1" ht="12.75" customHeight="1">
      <c r="A103" s="210" t="str">
        <f t="shared" si="6"/>
        <v/>
      </c>
      <c r="B103" s="211" t="str">
        <f t="shared" si="6"/>
        <v>個</v>
      </c>
      <c r="C103" s="235" t="str">
        <f t="shared" si="6"/>
        <v/>
      </c>
      <c r="D103" s="140" t="str">
        <f t="shared" si="6"/>
        <v/>
      </c>
      <c r="E103" s="235">
        <f t="shared" si="6"/>
        <v>22</v>
      </c>
      <c r="F103" s="214" t="str">
        <f t="shared" si="6"/>
        <v/>
      </c>
      <c r="G103" s="215" t="str">
        <f t="shared" si="6"/>
        <v/>
      </c>
      <c r="H103" s="210" t="str">
        <f t="shared" si="6"/>
        <v/>
      </c>
      <c r="I103" s="326" t="str">
        <f t="shared" si="6"/>
        <v/>
      </c>
      <c r="J103" s="327" t="str">
        <f t="shared" si="6"/>
        <v/>
      </c>
    </row>
    <row r="104" spans="1:12" s="191" customFormat="1" ht="12.75" customHeight="1">
      <c r="A104" s="225" t="str">
        <f t="shared" si="6"/>
        <v/>
      </c>
      <c r="B104" s="226" t="str">
        <f t="shared" si="6"/>
        <v>個</v>
      </c>
      <c r="C104" s="236" t="str">
        <f t="shared" si="6"/>
        <v/>
      </c>
      <c r="D104" s="141" t="str">
        <f t="shared" si="6"/>
        <v/>
      </c>
      <c r="E104" s="236">
        <f t="shared" si="6"/>
        <v>23</v>
      </c>
      <c r="F104" s="237" t="str">
        <f t="shared" si="6"/>
        <v/>
      </c>
      <c r="G104" s="230" t="str">
        <f t="shared" si="6"/>
        <v/>
      </c>
      <c r="H104" s="225" t="str">
        <f t="shared" si="6"/>
        <v/>
      </c>
      <c r="I104" s="328" t="str">
        <f t="shared" si="6"/>
        <v/>
      </c>
      <c r="J104" s="329" t="str">
        <f t="shared" si="6"/>
        <v/>
      </c>
    </row>
    <row r="105" spans="1:12" s="191" customFormat="1" ht="12.75" customHeight="1">
      <c r="A105" s="204" t="str">
        <f t="shared" si="6"/>
        <v/>
      </c>
      <c r="B105" s="205" t="str">
        <f t="shared" si="6"/>
        <v>個</v>
      </c>
      <c r="C105" s="234" t="str">
        <f t="shared" si="6"/>
        <v/>
      </c>
      <c r="D105" s="139" t="str">
        <f t="shared" si="6"/>
        <v/>
      </c>
      <c r="E105" s="234">
        <f t="shared" si="6"/>
        <v>24</v>
      </c>
      <c r="F105" s="208" t="str">
        <f t="shared" si="6"/>
        <v/>
      </c>
      <c r="G105" s="209" t="str">
        <f t="shared" si="6"/>
        <v/>
      </c>
      <c r="H105" s="204" t="str">
        <f t="shared" si="6"/>
        <v/>
      </c>
      <c r="I105" s="315" t="str">
        <f t="shared" si="6"/>
        <v/>
      </c>
      <c r="J105" s="316" t="str">
        <f t="shared" si="6"/>
        <v/>
      </c>
    </row>
    <row r="106" spans="1:12" s="191" customFormat="1" ht="12.75" customHeight="1">
      <c r="A106" s="210" t="str">
        <f t="shared" ref="A106:J119" si="7">IF(A42="","",A42)</f>
        <v/>
      </c>
      <c r="B106" s="211" t="str">
        <f t="shared" si="7"/>
        <v>個</v>
      </c>
      <c r="C106" s="235" t="str">
        <f t="shared" si="7"/>
        <v/>
      </c>
      <c r="D106" s="140" t="str">
        <f t="shared" si="7"/>
        <v/>
      </c>
      <c r="E106" s="235">
        <f t="shared" si="7"/>
        <v>25</v>
      </c>
      <c r="F106" s="214" t="str">
        <f t="shared" si="7"/>
        <v/>
      </c>
      <c r="G106" s="215" t="str">
        <f t="shared" si="7"/>
        <v/>
      </c>
      <c r="H106" s="210" t="str">
        <f t="shared" si="7"/>
        <v/>
      </c>
      <c r="I106" s="326" t="str">
        <f t="shared" si="7"/>
        <v/>
      </c>
      <c r="J106" s="327" t="str">
        <f t="shared" si="7"/>
        <v/>
      </c>
    </row>
    <row r="107" spans="1:12" s="191" customFormat="1" ht="12.75" customHeight="1">
      <c r="A107" s="225" t="str">
        <f t="shared" si="7"/>
        <v/>
      </c>
      <c r="B107" s="226" t="str">
        <f t="shared" si="7"/>
        <v>個</v>
      </c>
      <c r="C107" s="236" t="str">
        <f t="shared" si="7"/>
        <v/>
      </c>
      <c r="D107" s="141" t="str">
        <f t="shared" si="7"/>
        <v/>
      </c>
      <c r="E107" s="236">
        <f t="shared" si="7"/>
        <v>26</v>
      </c>
      <c r="F107" s="237" t="str">
        <f t="shared" si="7"/>
        <v/>
      </c>
      <c r="G107" s="230" t="str">
        <f t="shared" si="7"/>
        <v/>
      </c>
      <c r="H107" s="225" t="str">
        <f t="shared" si="7"/>
        <v/>
      </c>
      <c r="I107" s="328" t="str">
        <f t="shared" si="7"/>
        <v/>
      </c>
      <c r="J107" s="329" t="str">
        <f t="shared" si="7"/>
        <v/>
      </c>
    </row>
    <row r="108" spans="1:12" s="191" customFormat="1" ht="12.75" customHeight="1">
      <c r="A108" s="204" t="str">
        <f t="shared" si="7"/>
        <v/>
      </c>
      <c r="B108" s="205" t="str">
        <f t="shared" si="7"/>
        <v>個</v>
      </c>
      <c r="C108" s="234" t="str">
        <f t="shared" si="7"/>
        <v/>
      </c>
      <c r="D108" s="139" t="str">
        <f t="shared" si="7"/>
        <v/>
      </c>
      <c r="E108" s="234">
        <f t="shared" si="7"/>
        <v>27</v>
      </c>
      <c r="F108" s="208" t="str">
        <f t="shared" si="7"/>
        <v/>
      </c>
      <c r="G108" s="209" t="str">
        <f t="shared" si="7"/>
        <v/>
      </c>
      <c r="H108" s="204" t="str">
        <f t="shared" si="7"/>
        <v/>
      </c>
      <c r="I108" s="315" t="str">
        <f t="shared" si="7"/>
        <v/>
      </c>
      <c r="J108" s="316" t="str">
        <f t="shared" si="7"/>
        <v/>
      </c>
    </row>
    <row r="109" spans="1:12" s="191" customFormat="1" ht="12.75" customHeight="1">
      <c r="A109" s="210" t="str">
        <f t="shared" si="7"/>
        <v/>
      </c>
      <c r="B109" s="211" t="str">
        <f t="shared" si="7"/>
        <v>個</v>
      </c>
      <c r="C109" s="235" t="str">
        <f t="shared" si="7"/>
        <v/>
      </c>
      <c r="D109" s="140" t="str">
        <f t="shared" si="7"/>
        <v/>
      </c>
      <c r="E109" s="235">
        <f t="shared" si="7"/>
        <v>28</v>
      </c>
      <c r="F109" s="214" t="str">
        <f t="shared" si="7"/>
        <v/>
      </c>
      <c r="G109" s="215" t="str">
        <f t="shared" si="7"/>
        <v/>
      </c>
      <c r="H109" s="210" t="str">
        <f t="shared" si="7"/>
        <v/>
      </c>
      <c r="I109" s="326" t="str">
        <f t="shared" si="7"/>
        <v/>
      </c>
      <c r="J109" s="327" t="str">
        <f t="shared" si="7"/>
        <v/>
      </c>
    </row>
    <row r="110" spans="1:12" s="191" customFormat="1" ht="12.75" customHeight="1">
      <c r="A110" s="225" t="str">
        <f t="shared" si="7"/>
        <v/>
      </c>
      <c r="B110" s="226" t="str">
        <f t="shared" si="7"/>
        <v>個</v>
      </c>
      <c r="C110" s="236" t="str">
        <f t="shared" si="7"/>
        <v/>
      </c>
      <c r="D110" s="141" t="str">
        <f t="shared" si="7"/>
        <v/>
      </c>
      <c r="E110" s="236">
        <f t="shared" si="7"/>
        <v>29</v>
      </c>
      <c r="F110" s="237" t="str">
        <f t="shared" si="7"/>
        <v/>
      </c>
      <c r="G110" s="230" t="str">
        <f t="shared" si="7"/>
        <v/>
      </c>
      <c r="H110" s="225" t="str">
        <f t="shared" si="7"/>
        <v/>
      </c>
      <c r="I110" s="328" t="str">
        <f t="shared" si="7"/>
        <v/>
      </c>
      <c r="J110" s="329" t="str">
        <f t="shared" si="7"/>
        <v/>
      </c>
    </row>
    <row r="111" spans="1:12" s="191" customFormat="1" ht="12.75" customHeight="1">
      <c r="A111" s="204" t="str">
        <f t="shared" si="7"/>
        <v/>
      </c>
      <c r="B111" s="205" t="str">
        <f t="shared" si="7"/>
        <v>個</v>
      </c>
      <c r="C111" s="234" t="str">
        <f t="shared" si="7"/>
        <v/>
      </c>
      <c r="D111" s="139" t="str">
        <f t="shared" si="7"/>
        <v/>
      </c>
      <c r="E111" s="234">
        <f t="shared" si="7"/>
        <v>30</v>
      </c>
      <c r="F111" s="208" t="str">
        <f t="shared" si="7"/>
        <v/>
      </c>
      <c r="G111" s="209" t="str">
        <f t="shared" si="7"/>
        <v/>
      </c>
      <c r="H111" s="204" t="str">
        <f t="shared" si="7"/>
        <v/>
      </c>
      <c r="I111" s="315" t="str">
        <f t="shared" si="7"/>
        <v/>
      </c>
      <c r="J111" s="316" t="str">
        <f t="shared" si="7"/>
        <v/>
      </c>
    </row>
    <row r="112" spans="1:12" s="191" customFormat="1" ht="12.75" customHeight="1">
      <c r="A112" s="210" t="str">
        <f t="shared" si="7"/>
        <v/>
      </c>
      <c r="B112" s="211" t="str">
        <f t="shared" si="7"/>
        <v>個</v>
      </c>
      <c r="C112" s="235" t="str">
        <f t="shared" si="7"/>
        <v/>
      </c>
      <c r="D112" s="140" t="str">
        <f t="shared" si="7"/>
        <v/>
      </c>
      <c r="E112" s="235">
        <f t="shared" si="7"/>
        <v>31</v>
      </c>
      <c r="F112" s="214" t="str">
        <f t="shared" si="7"/>
        <v/>
      </c>
      <c r="G112" s="215" t="str">
        <f t="shared" si="7"/>
        <v/>
      </c>
      <c r="H112" s="210" t="str">
        <f t="shared" si="7"/>
        <v/>
      </c>
      <c r="I112" s="326" t="str">
        <f t="shared" si="7"/>
        <v/>
      </c>
      <c r="J112" s="327" t="str">
        <f t="shared" si="7"/>
        <v/>
      </c>
    </row>
    <row r="113" spans="1:11" s="191" customFormat="1" ht="12.75" customHeight="1">
      <c r="A113" s="225" t="str">
        <f t="shared" si="7"/>
        <v/>
      </c>
      <c r="B113" s="226" t="str">
        <f t="shared" si="7"/>
        <v>個</v>
      </c>
      <c r="C113" s="236" t="str">
        <f t="shared" si="7"/>
        <v/>
      </c>
      <c r="D113" s="141" t="str">
        <f t="shared" si="7"/>
        <v/>
      </c>
      <c r="E113" s="236">
        <f t="shared" si="7"/>
        <v>32</v>
      </c>
      <c r="F113" s="237" t="str">
        <f t="shared" si="7"/>
        <v/>
      </c>
      <c r="G113" s="230" t="str">
        <f t="shared" si="7"/>
        <v/>
      </c>
      <c r="H113" s="225" t="str">
        <f t="shared" si="7"/>
        <v/>
      </c>
      <c r="I113" s="328" t="str">
        <f t="shared" si="7"/>
        <v/>
      </c>
      <c r="J113" s="329" t="str">
        <f t="shared" si="7"/>
        <v/>
      </c>
    </row>
    <row r="114" spans="1:11" s="191" customFormat="1" ht="12.75" customHeight="1">
      <c r="A114" s="204" t="str">
        <f t="shared" si="7"/>
        <v/>
      </c>
      <c r="B114" s="205" t="str">
        <f t="shared" si="7"/>
        <v>個</v>
      </c>
      <c r="C114" s="234" t="str">
        <f t="shared" si="7"/>
        <v/>
      </c>
      <c r="D114" s="139" t="str">
        <f t="shared" si="7"/>
        <v/>
      </c>
      <c r="E114" s="234">
        <f t="shared" si="7"/>
        <v>33</v>
      </c>
      <c r="F114" s="208" t="str">
        <f t="shared" si="7"/>
        <v/>
      </c>
      <c r="G114" s="209" t="str">
        <f t="shared" si="7"/>
        <v/>
      </c>
      <c r="H114" s="204" t="str">
        <f t="shared" si="7"/>
        <v/>
      </c>
      <c r="I114" s="315" t="str">
        <f t="shared" si="7"/>
        <v/>
      </c>
      <c r="J114" s="316" t="str">
        <f t="shared" si="7"/>
        <v/>
      </c>
    </row>
    <row r="115" spans="1:11" s="191" customFormat="1" ht="12.75" customHeight="1">
      <c r="A115" s="210" t="str">
        <f t="shared" si="7"/>
        <v/>
      </c>
      <c r="B115" s="211" t="str">
        <f t="shared" si="7"/>
        <v>個</v>
      </c>
      <c r="C115" s="235" t="str">
        <f t="shared" si="7"/>
        <v/>
      </c>
      <c r="D115" s="140" t="str">
        <f t="shared" si="7"/>
        <v/>
      </c>
      <c r="E115" s="235">
        <f t="shared" si="7"/>
        <v>34</v>
      </c>
      <c r="F115" s="214" t="str">
        <f t="shared" si="7"/>
        <v/>
      </c>
      <c r="G115" s="215" t="str">
        <f t="shared" si="7"/>
        <v/>
      </c>
      <c r="H115" s="210" t="str">
        <f t="shared" si="7"/>
        <v/>
      </c>
      <c r="I115" s="326" t="str">
        <f t="shared" si="7"/>
        <v/>
      </c>
      <c r="J115" s="327" t="str">
        <f t="shared" si="7"/>
        <v/>
      </c>
    </row>
    <row r="116" spans="1:11" s="191" customFormat="1" ht="12.75" customHeight="1">
      <c r="A116" s="225" t="str">
        <f t="shared" si="7"/>
        <v/>
      </c>
      <c r="B116" s="226" t="str">
        <f t="shared" si="7"/>
        <v>個</v>
      </c>
      <c r="C116" s="236" t="str">
        <f t="shared" si="7"/>
        <v/>
      </c>
      <c r="D116" s="141" t="str">
        <f t="shared" si="7"/>
        <v/>
      </c>
      <c r="E116" s="236">
        <f t="shared" si="7"/>
        <v>35</v>
      </c>
      <c r="F116" s="237" t="str">
        <f t="shared" si="7"/>
        <v/>
      </c>
      <c r="G116" s="230" t="str">
        <f t="shared" si="7"/>
        <v/>
      </c>
      <c r="H116" s="225" t="str">
        <f t="shared" si="7"/>
        <v/>
      </c>
      <c r="I116" s="328" t="str">
        <f t="shared" si="7"/>
        <v/>
      </c>
      <c r="J116" s="329" t="str">
        <f t="shared" si="7"/>
        <v/>
      </c>
    </row>
    <row r="117" spans="1:11" s="191" customFormat="1" ht="12.75" customHeight="1">
      <c r="A117" s="204" t="str">
        <f t="shared" si="7"/>
        <v/>
      </c>
      <c r="B117" s="205" t="str">
        <f t="shared" si="7"/>
        <v>個</v>
      </c>
      <c r="C117" s="234" t="str">
        <f t="shared" si="7"/>
        <v/>
      </c>
      <c r="D117" s="139" t="str">
        <f t="shared" si="7"/>
        <v/>
      </c>
      <c r="E117" s="234">
        <f t="shared" si="7"/>
        <v>36</v>
      </c>
      <c r="F117" s="208" t="str">
        <f t="shared" si="7"/>
        <v/>
      </c>
      <c r="G117" s="209" t="str">
        <f t="shared" si="7"/>
        <v/>
      </c>
      <c r="H117" s="204" t="str">
        <f t="shared" si="7"/>
        <v/>
      </c>
      <c r="I117" s="315" t="str">
        <f t="shared" si="7"/>
        <v/>
      </c>
      <c r="J117" s="316" t="str">
        <f t="shared" si="7"/>
        <v/>
      </c>
    </row>
    <row r="118" spans="1:11" s="191" customFormat="1" ht="12.75" customHeight="1">
      <c r="A118" s="210" t="str">
        <f t="shared" si="7"/>
        <v/>
      </c>
      <c r="B118" s="211" t="str">
        <f t="shared" si="7"/>
        <v>個</v>
      </c>
      <c r="C118" s="235" t="str">
        <f t="shared" si="7"/>
        <v/>
      </c>
      <c r="D118" s="140" t="str">
        <f t="shared" si="7"/>
        <v/>
      </c>
      <c r="E118" s="235">
        <f t="shared" si="7"/>
        <v>37</v>
      </c>
      <c r="F118" s="214" t="str">
        <f t="shared" si="7"/>
        <v/>
      </c>
      <c r="G118" s="215" t="str">
        <f t="shared" si="7"/>
        <v/>
      </c>
      <c r="H118" s="210" t="str">
        <f t="shared" si="7"/>
        <v/>
      </c>
      <c r="I118" s="326" t="str">
        <f t="shared" si="7"/>
        <v/>
      </c>
      <c r="J118" s="327" t="str">
        <f t="shared" si="7"/>
        <v/>
      </c>
    </row>
    <row r="119" spans="1:11" s="191" customFormat="1" ht="12.75" customHeight="1">
      <c r="A119" s="225" t="str">
        <f t="shared" si="7"/>
        <v/>
      </c>
      <c r="B119" s="226" t="str">
        <f t="shared" si="7"/>
        <v>個</v>
      </c>
      <c r="C119" s="236" t="str">
        <f t="shared" si="7"/>
        <v/>
      </c>
      <c r="D119" s="141" t="str">
        <f t="shared" si="7"/>
        <v/>
      </c>
      <c r="E119" s="236">
        <f t="shared" si="7"/>
        <v>38</v>
      </c>
      <c r="F119" s="237" t="str">
        <f t="shared" si="7"/>
        <v/>
      </c>
      <c r="G119" s="230" t="str">
        <f t="shared" si="7"/>
        <v/>
      </c>
      <c r="H119" s="225" t="str">
        <f t="shared" si="7"/>
        <v/>
      </c>
      <c r="I119" s="328" t="str">
        <f t="shared" si="7"/>
        <v/>
      </c>
      <c r="J119" s="329" t="str">
        <f t="shared" si="7"/>
        <v/>
      </c>
    </row>
    <row r="120" spans="1:11" s="191" customFormat="1" ht="12.75" customHeight="1">
      <c r="H120" s="192"/>
    </row>
    <row r="121" spans="1:11" s="238" customFormat="1" ht="12.75" customHeight="1">
      <c r="A121" s="385" t="s">
        <v>406</v>
      </c>
      <c r="B121" s="385"/>
      <c r="C121" s="385"/>
      <c r="D121" s="385"/>
      <c r="E121" s="386">
        <f>E57</f>
        <v>43734</v>
      </c>
      <c r="F121" s="387"/>
    </row>
    <row r="122" spans="1:11" s="238" customFormat="1" ht="12.75" customHeight="1">
      <c r="A122" s="348"/>
      <c r="B122" s="348"/>
      <c r="C122" s="348"/>
      <c r="D122" s="348"/>
      <c r="E122" s="239"/>
      <c r="F122" s="239"/>
    </row>
    <row r="123" spans="1:11" s="238" customFormat="1" ht="12.75" customHeight="1">
      <c r="A123" s="348"/>
      <c r="B123" s="348"/>
      <c r="C123" s="348"/>
      <c r="D123" s="348"/>
    </row>
    <row r="124" spans="1:11" s="238" customFormat="1" ht="12.75" customHeight="1">
      <c r="A124" s="239" t="s">
        <v>507</v>
      </c>
      <c r="B124" s="383" t="str">
        <f>B60</f>
        <v/>
      </c>
      <c r="C124" s="383"/>
      <c r="D124" s="383"/>
      <c r="E124" s="239" t="s">
        <v>199</v>
      </c>
      <c r="F124" s="249" t="str">
        <f>F60</f>
        <v xml:space="preserve">○　○　○　○　 </v>
      </c>
      <c r="G124" s="347" t="s">
        <v>511</v>
      </c>
    </row>
    <row r="125" spans="1:11" s="238" customFormat="1" ht="12.75" customHeight="1">
      <c r="H125" s="240"/>
    </row>
    <row r="126" spans="1:11" s="238" customFormat="1" ht="12.75" customHeight="1">
      <c r="H126" s="240"/>
    </row>
    <row r="127" spans="1:11" s="238" customFormat="1" ht="12.75" customHeight="1">
      <c r="A127" s="239" t="s">
        <v>510</v>
      </c>
      <c r="B127" s="383" t="str">
        <f>B63</f>
        <v/>
      </c>
      <c r="C127" s="383"/>
      <c r="D127" s="383"/>
      <c r="E127" s="239" t="s">
        <v>509</v>
      </c>
      <c r="F127" s="249" t="str">
        <f>F63</f>
        <v xml:space="preserve">○　○　○　○　 </v>
      </c>
      <c r="G127" s="347" t="s">
        <v>511</v>
      </c>
      <c r="H127" s="240"/>
      <c r="K127" s="250"/>
    </row>
    <row r="128" spans="1:11" s="191" customFormat="1" ht="12.75" customHeight="1">
      <c r="H128" s="192"/>
    </row>
  </sheetData>
  <sheetProtection password="CC71" sheet="1" objects="1" scenarios="1"/>
  <mergeCells count="45">
    <mergeCell ref="A121:D121"/>
    <mergeCell ref="E121:F121"/>
    <mergeCell ref="B124:D124"/>
    <mergeCell ref="B127:D127"/>
    <mergeCell ref="A2:A4"/>
    <mergeCell ref="B73:C73"/>
    <mergeCell ref="D73:G73"/>
    <mergeCell ref="B75:G75"/>
    <mergeCell ref="A57:D57"/>
    <mergeCell ref="E57:F57"/>
    <mergeCell ref="B60:D60"/>
    <mergeCell ref="B63:D63"/>
    <mergeCell ref="C66:G66"/>
    <mergeCell ref="B68:C68"/>
    <mergeCell ref="D68:F68"/>
    <mergeCell ref="B9:C9"/>
    <mergeCell ref="I75:J75"/>
    <mergeCell ref="B88:G88"/>
    <mergeCell ref="I88:J88"/>
    <mergeCell ref="B70:C70"/>
    <mergeCell ref="D70:G70"/>
    <mergeCell ref="B71:C71"/>
    <mergeCell ref="D71:E71"/>
    <mergeCell ref="F71:G71"/>
    <mergeCell ref="B72:C72"/>
    <mergeCell ref="D72:E72"/>
    <mergeCell ref="F72:G72"/>
    <mergeCell ref="D9:G9"/>
    <mergeCell ref="B11:G11"/>
    <mergeCell ref="I11:J11"/>
    <mergeCell ref="B24:G24"/>
    <mergeCell ref="I24:J24"/>
    <mergeCell ref="B7:C7"/>
    <mergeCell ref="D7:E7"/>
    <mergeCell ref="F7:G7"/>
    <mergeCell ref="B8:C8"/>
    <mergeCell ref="D8:E8"/>
    <mergeCell ref="F8:G8"/>
    <mergeCell ref="B6:C6"/>
    <mergeCell ref="D6:G6"/>
    <mergeCell ref="C2:G2"/>
    <mergeCell ref="K2:K3"/>
    <mergeCell ref="L2:L3"/>
    <mergeCell ref="B4:C4"/>
    <mergeCell ref="D4:F4"/>
  </mergeCells>
  <phoneticPr fontId="2"/>
  <dataValidations count="1">
    <dataValidation type="list" allowBlank="1" showInputMessage="1" showErrorMessage="1" sqref="I13:I20 I26:I55">
      <formula1>"なし,あり→"</formula1>
    </dataValidation>
  </dataValidations>
  <printOptions horizontalCentered="1"/>
  <pageMargins left="0.39370078740157483" right="0.39370078740157483" top="0.39370078740157483" bottom="0.39370078740157483" header="0" footer="0"/>
  <pageSetup paperSize="9" orientation="portrait" horizont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4"/>
  </sheetPr>
  <dimension ref="A2:L130"/>
  <sheetViews>
    <sheetView zoomScaleNormal="100" workbookViewId="0"/>
  </sheetViews>
  <sheetFormatPr defaultColWidth="9" defaultRowHeight="12.75" customHeight="1"/>
  <cols>
    <col min="1" max="3" width="8.125" style="143" customWidth="1"/>
    <col min="4" max="4" width="15" style="143" customWidth="1"/>
    <col min="5" max="5" width="8.125" style="143" customWidth="1"/>
    <col min="6" max="6" width="24.25" style="143" customWidth="1"/>
    <col min="7" max="8" width="8.125" style="143" customWidth="1"/>
    <col min="9" max="9" width="4.25" style="143" customWidth="1"/>
    <col min="10" max="10" width="6.125" style="143" customWidth="1"/>
    <col min="11" max="16384" width="9" style="143"/>
  </cols>
  <sheetData>
    <row r="2" spans="1:12" ht="22.5" customHeight="1">
      <c r="A2" s="382" t="s">
        <v>518</v>
      </c>
      <c r="B2" s="340">
        <v>1</v>
      </c>
      <c r="C2" s="424" t="str">
        <f>日!B1&amp;"県高校弓道新人大会（兼）全国選抜県予選会"</f>
        <v>令和元年度県高校弓道新人大会（兼）全国選抜県予選会</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531</v>
      </c>
    </row>
    <row r="5" spans="1:12" ht="12.75" customHeight="1">
      <c r="B5" s="144"/>
      <c r="C5" s="144"/>
      <c r="D5" s="145"/>
      <c r="E5" s="145"/>
      <c r="F5" s="145"/>
      <c r="G5" s="145"/>
      <c r="K5" s="341" t="str">
        <f>SUBSTITUTE(SUBSTITUTE(K4," ",""),"　","")</f>
        <v>○○</v>
      </c>
      <c r="L5" s="341" t="str">
        <f>SUBSTITUTE(SUBSTITUTE(L4," ",""),"　","")</f>
        <v>○○</v>
      </c>
    </row>
    <row r="6" spans="1:12" ht="12.75" customHeight="1">
      <c r="B6" s="411" t="s">
        <v>39</v>
      </c>
      <c r="C6" s="411"/>
      <c r="D6" s="427">
        <v>12</v>
      </c>
      <c r="E6" s="427"/>
      <c r="F6" s="427"/>
      <c r="G6" s="427"/>
      <c r="I6" s="147"/>
    </row>
    <row r="7" spans="1:12" ht="12.75" customHeight="1">
      <c r="B7" s="411" t="s">
        <v>40</v>
      </c>
      <c r="C7" s="411"/>
      <c r="D7" s="422">
        <f>VLOOKUP(D6,日!$B$2:$F$111,3,0)</f>
        <v>43748</v>
      </c>
      <c r="E7" s="423"/>
      <c r="F7" s="416" t="str">
        <f>TEXT(WEEKDAY(D7,1),"aaaa")&amp;"　１６時"</f>
        <v>木曜日　１６時</v>
      </c>
      <c r="G7" s="417"/>
      <c r="I7" s="147"/>
    </row>
    <row r="8" spans="1:12" ht="12.75" customHeight="1">
      <c r="B8" s="411" t="s">
        <v>38</v>
      </c>
      <c r="C8" s="411"/>
      <c r="D8" s="418">
        <f>VLOOKUP(D6,日!$B$2:$F$111,5,0)</f>
        <v>43758</v>
      </c>
      <c r="E8" s="419"/>
      <c r="F8" s="420" t="str">
        <f>TEXT(WEEKDAY(D8,1),"aaaa")</f>
        <v>日曜日</v>
      </c>
      <c r="G8" s="421"/>
      <c r="I8" s="147"/>
    </row>
    <row r="9" spans="1:12" ht="12.75" customHeight="1">
      <c r="B9" s="411" t="s">
        <v>41</v>
      </c>
      <c r="C9" s="411"/>
      <c r="D9" s="412" t="s">
        <v>45</v>
      </c>
      <c r="E9" s="413"/>
      <c r="F9" s="395" t="s">
        <v>46</v>
      </c>
      <c r="G9" s="396"/>
      <c r="I9" s="147"/>
    </row>
    <row r="10" spans="1:12" ht="12.75" customHeight="1">
      <c r="B10" s="147"/>
      <c r="C10" s="147"/>
      <c r="D10" s="146"/>
      <c r="E10" s="146"/>
      <c r="F10" s="146"/>
      <c r="G10" s="146"/>
      <c r="I10" s="147"/>
    </row>
    <row r="11" spans="1:12" ht="22.5" customHeight="1">
      <c r="B11" s="414" t="str">
        <f>IF(B2=1,"男　子　団　体　参　加　申　込　書","女　子　団　体　参　加　申　込　書")</f>
        <v>男　子　団　体　参　加　申　込　書</v>
      </c>
      <c r="C11" s="414"/>
      <c r="D11" s="414"/>
      <c r="E11" s="414"/>
      <c r="F11" s="414"/>
      <c r="G11" s="414"/>
    </row>
    <row r="12" spans="1:12" ht="12.75" customHeight="1">
      <c r="A12" s="340" t="s">
        <v>32</v>
      </c>
      <c r="B12" s="148" t="s">
        <v>22</v>
      </c>
      <c r="C12" s="149" t="s">
        <v>10</v>
      </c>
      <c r="D12" s="150" t="s">
        <v>33</v>
      </c>
      <c r="E12" s="151" t="s">
        <v>12</v>
      </c>
      <c r="F12" s="152" t="s">
        <v>13</v>
      </c>
      <c r="G12" s="153" t="s">
        <v>14</v>
      </c>
      <c r="H12" s="341" t="s">
        <v>47</v>
      </c>
    </row>
    <row r="13" spans="1:12" ht="12.75" customHeight="1">
      <c r="A13" s="154" t="str">
        <f>IF($B$2=1,IF($D$13="","",IF(COUNT($D$13:$D$16)=1,VLOOKUP(登!$D$1,立男!$A$4:$I$100,8,0)+100,VLOOKUP(登!$D$1,立男!$A$4:$I$100,8,0))),IF($D$13="","",IF(COUNT($D$13:$D$16)=1,VLOOKUP(登!$D$1,立女!$A$4:$I$100,8,0)+100,VLOOKUP(登!$D$1,立女!$A$4:$I$100,8,0))))</f>
        <v/>
      </c>
      <c r="B13" s="155" t="s">
        <v>16</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IF(D13="","",IF(COUNTIF($D$13:$D$20,D13)&gt;1,"選手重複!!","OK"))</f>
        <v/>
      </c>
    </row>
    <row r="14" spans="1:12" ht="12.75" customHeight="1">
      <c r="A14" s="160" t="str">
        <f>IF($B$2=1,IF($D$13="","",IF(COUNT($D$13:$D$16)=1,VLOOKUP(登!$D$1,立男!$A$4:$I$100,8,0)+100,VLOOKUP(登!$D$1,立男!$A$4:$I$100,8,0))),IF($D$13="","",IF(COUNT($D$13:$D$16)=1,VLOOKUP(登!$D$1,立女!$A$4:$I$100,8,0)+100,VLOOKUP(登!$D$1,立女!$A$4:$I$100,8,0))))</f>
        <v/>
      </c>
      <c r="B14" s="161" t="s">
        <v>16</v>
      </c>
      <c r="C14" s="186" t="str">
        <f>IF(D14="","",登!$F$1)</f>
        <v/>
      </c>
      <c r="D14" s="495"/>
      <c r="E14" s="186">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 t="shared" ref="H14:H20" si="0">IF(D14="","",IF(COUNTIF($D$13:$D$20,D14)&gt;1,"選手重複!!","OK"))</f>
        <v/>
      </c>
    </row>
    <row r="15" spans="1:12" ht="12.75" customHeight="1">
      <c r="A15" s="160" t="str">
        <f>IF($B$2=1,IF($D$13="","",IF(COUNT($D$13:$D$16)=1,VLOOKUP(登!$D$1,立男!$A$4:$I$100,8,0)+100,VLOOKUP(登!$D$1,立男!$A$4:$I$100,8,0))),IF($D$13="","",IF(COUNT($D$13:$D$16)=1,VLOOKUP(登!$D$1,立女!$A$4:$I$100,8,0)+100,VLOOKUP(登!$D$1,立女!$A$4:$I$100,8,0))))</f>
        <v/>
      </c>
      <c r="B15" s="161" t="s">
        <v>16</v>
      </c>
      <c r="C15" s="186" t="str">
        <f>IF(D15="","",登!$F$1)</f>
        <v/>
      </c>
      <c r="D15" s="64"/>
      <c r="E15" s="186">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5" t="str">
        <f t="shared" si="0"/>
        <v/>
      </c>
    </row>
    <row r="16" spans="1:12" ht="12.75" customHeight="1">
      <c r="A16" s="160" t="str">
        <f>IF($B$2=1,IF($D$13="","",IF(COUNT($D$13:$D$16)=1,VLOOKUP(登!$D$1,立男!$A$4:$I$100,8,0)+100,VLOOKUP(登!$D$1,立男!$A$4:$I$100,8,0))),IF($D$13="","",IF(COUNT($D$13:$D$16)=1,VLOOKUP(登!$D$1,立女!$A$4:$I$100,8,0)+100,VLOOKUP(登!$D$1,立女!$A$4:$I$100,8,0))))</f>
        <v/>
      </c>
      <c r="B16" s="161" t="s">
        <v>16</v>
      </c>
      <c r="C16" s="186" t="str">
        <f>IF(D16="","",登!$F$1)</f>
        <v/>
      </c>
      <c r="D16" s="66"/>
      <c r="E16" s="186">
        <v>4</v>
      </c>
      <c r="F16" s="164" t="str">
        <f>IF(D16="","",IF(COUNTIF($D$13:D16,"")&gt;0,"大前から詰めて入力",IF(INT(VALUE(RIGHT(D16,3))/100)=$B$2,VLOOKUP(D16,登!$B$4:$I$103,7,0),"部員番号入力ミス")))</f>
        <v/>
      </c>
      <c r="G16" s="165" t="str">
        <f>IF(D16="","",IF(INT(VALUE(RIGHT(D16,3))/100)=$B$2,IF(VLOOKUP(D16,登!$B$4:$I$103,2,0)=登!$B$1,1,IF(VLOOKUP(D16,登!$B$4:$I$103,2,0)=登!$B$1-1,2,IF(VLOOKUP(D16,登!$B$4:$I$103,2,0)=登!$B$1-2,3,"学年ミス"))),"番号ミス"))</f>
        <v/>
      </c>
      <c r="H16" s="165" t="str">
        <f t="shared" si="0"/>
        <v/>
      </c>
    </row>
    <row r="17" spans="1:8" ht="12.75" customHeight="1">
      <c r="A17" s="154" t="str">
        <f>IF($B$2=1,IF($D$17="","",IF(COUNT($D$17:$D$20)=1,VLOOKUP(登!$D$1,立男!$A$4:$I$100,8,0)+1100,VLOOKUP(登!$D$1,立男!$A$4:$I$100,8,0)+1000)),IF($D$17="","",IF(COUNT($D$17:$D$20)=1,VLOOKUP(登!$D$1,立女!$A$4:$I$100,8,0)+1100,VLOOKUP(登!$D$1,立女!$A$4:$I$100,8,0)+1000)))</f>
        <v/>
      </c>
      <c r="B17" s="155" t="s">
        <v>17</v>
      </c>
      <c r="C17" s="185" t="str">
        <f>IF(D17="","",登!$F$1)</f>
        <v/>
      </c>
      <c r="D17" s="63"/>
      <c r="E17" s="185">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9" t="str">
        <f t="shared" si="0"/>
        <v/>
      </c>
    </row>
    <row r="18" spans="1:8" ht="12.75" customHeight="1">
      <c r="A18" s="160" t="str">
        <f>IF($B$2=1,IF($D$17="","",IF(COUNT($D$17:$D$20)=1,VLOOKUP(登!$D$1,立男!$A$4:$I$100,8,0)+1100,VLOOKUP(登!$D$1,立男!$A$4:$I$100,8,0)+1000)),IF($D$17="","",IF(COUNT($D$17:$D$20)=1,VLOOKUP(登!$D$1,立女!$A$4:$I$100,8,0)+1100,VLOOKUP(登!$D$1,立女!$A$4:$I$100,8,0)+1000)))</f>
        <v/>
      </c>
      <c r="B18" s="161" t="s">
        <v>17</v>
      </c>
      <c r="C18" s="186" t="str">
        <f>IF(D18="","",登!$F$1)</f>
        <v/>
      </c>
      <c r="D18" s="495"/>
      <c r="E18" s="186">
        <v>6</v>
      </c>
      <c r="F18" s="164" t="str">
        <f>IF(D18="","",IF(COUNTIF($D$13:$D$16,"")=4,"Ａチームから入力",IF(COUNTIF($D$17:D18,"")&gt;0,"大前から詰めて入力",IF(INT(VALUE(RIGHT(D18,3))/100)=$B$2,VLOOKUP(D18,登!$B$4:$I$103,7,0),"部員番号入力ミス"))))</f>
        <v/>
      </c>
      <c r="G18" s="165" t="str">
        <f>IF(D18="","",IF(INT(VALUE(RIGHT(D18,3))/100)=$B$2,IF(VLOOKUP(D18,登!$B$4:$I$103,2,0)=登!$B$1,1,IF(VLOOKUP(D18,登!$B$4:$I$103,2,0)=登!$B$1-1,2,IF(VLOOKUP(D18,登!$B$4:$I$103,2,0)=登!$B$1-2,3,"学年ミス"))),"番号ミス"))</f>
        <v/>
      </c>
      <c r="H18" s="165" t="str">
        <f t="shared" si="0"/>
        <v/>
      </c>
    </row>
    <row r="19" spans="1:8" ht="12.75" customHeight="1">
      <c r="A19" s="160" t="str">
        <f>IF($B$2=1,IF($D$17="","",IF(COUNT($D$17:$D$20)=1,VLOOKUP(登!$D$1,立男!$A$4:$I$100,8,0)+1100,VLOOKUP(登!$D$1,立男!$A$4:$I$100,8,0)+1000)),IF($D$17="","",IF(COUNT($D$17:$D$20)=1,VLOOKUP(登!$D$1,立女!$A$4:$I$100,8,0)+1100,VLOOKUP(登!$D$1,立女!$A$4:$I$100,8,0)+1000)))</f>
        <v/>
      </c>
      <c r="B19" s="161" t="s">
        <v>17</v>
      </c>
      <c r="C19" s="186" t="str">
        <f>IF(D19="","",登!$F$1)</f>
        <v/>
      </c>
      <c r="D19" s="64"/>
      <c r="E19" s="186">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5" t="str">
        <f t="shared" si="0"/>
        <v/>
      </c>
    </row>
    <row r="20" spans="1:8" ht="12.75" customHeight="1">
      <c r="A20" s="175" t="str">
        <f>IF($B$2=1,IF($D$17="","",IF(COUNT($D$17:$D$20)=1,VLOOKUP(登!$D$1,立男!$A$4:$I$100,8,0)+1100,VLOOKUP(登!$D$1,立男!$A$4:$I$100,8,0)+1000)),IF($D$17="","",IF(COUNT($D$17:$D$20)=1,VLOOKUP(登!$D$1,立女!$A$4:$I$100,8,0)+1100,VLOOKUP(登!$D$1,立女!$A$4:$I$100,8,0)+1000)))</f>
        <v/>
      </c>
      <c r="B20" s="176" t="s">
        <v>17</v>
      </c>
      <c r="C20" s="187" t="str">
        <f>IF(D20="","",登!$F$1)</f>
        <v/>
      </c>
      <c r="D20" s="66"/>
      <c r="E20" s="187">
        <v>8</v>
      </c>
      <c r="F20" s="188" t="str">
        <f>IF(D20="","",IF(COUNTIF($D$13:$D$16,"")=4,"Ａチームから入力",IF(COUNTIF($D$17:D20,"")&gt;0,"大前から詰めて入力",IF(INT(VALUE(RIGHT(D20,3))/100)=$B$2,VLOOKUP(D20,登!$B$4:$I$103,7,0),"部員番号入力ミス"))))</f>
        <v/>
      </c>
      <c r="G20" s="181" t="str">
        <f>IF(D20="","",IF(INT(VALUE(RIGHT(D20,3))/100)=$B$2,IF(VLOOKUP(D20,登!$B$4:$I$103,2,0)=登!$B$1,1,IF(VLOOKUP(D20,登!$B$4:$I$103,2,0)=登!$B$1-1,2,IF(VLOOKUP(D20,登!$B$4:$I$103,2,0)=登!$B$1-2,3,"学年ミス"))),"番号ミス"))</f>
        <v/>
      </c>
      <c r="H20" s="181" t="str">
        <f t="shared" si="0"/>
        <v/>
      </c>
    </row>
    <row r="21" spans="1:8" ht="12.75" customHeight="1">
      <c r="A21" s="154" t="str">
        <f>IF($B$2=1,IF(D21="","",VLOOKUP(登!$D$1,立男!$A$4:$I$100,8,0)+2000),IF(D21="","",VLOOKUP(登!$D$1,立女!$A$4:$I$100,8,0)+2000))</f>
        <v/>
      </c>
      <c r="B21" s="155" t="s">
        <v>261</v>
      </c>
      <c r="C21" s="185" t="str">
        <f>IF(C16="","",C16)</f>
        <v/>
      </c>
      <c r="D21" s="172" t="str">
        <f>IF(D16="","",D16)</f>
        <v/>
      </c>
      <c r="E21" s="185">
        <f>IF(E16="","",E16)</f>
        <v>4</v>
      </c>
      <c r="F21" s="158" t="str">
        <f>IF(F16="","",F16)</f>
        <v/>
      </c>
      <c r="G21" s="159" t="str">
        <f>IF(G16="","",G16)</f>
        <v/>
      </c>
      <c r="H21" s="174"/>
    </row>
    <row r="22" spans="1:8" ht="12.75" customHeight="1">
      <c r="A22" s="175" t="str">
        <f>IF($B$2=1,IF(D22="","",VLOOKUP(登!$D$1,立男!$A$4:$I$100,8,0)+2000),IF(D22="","",VLOOKUP(登!$D$1,立女!$A$4:$I$100,8,0)+2000))</f>
        <v/>
      </c>
      <c r="B22" s="176" t="s">
        <v>262</v>
      </c>
      <c r="C22" s="187" t="str">
        <f>IF(C20="","",C20)</f>
        <v/>
      </c>
      <c r="D22" s="178" t="str">
        <f>IF(D20="","",D20)</f>
        <v/>
      </c>
      <c r="E22" s="187">
        <f>IF(E20="","",E20)</f>
        <v>8</v>
      </c>
      <c r="F22" s="188" t="str">
        <f>IF(F20="","",F20)</f>
        <v/>
      </c>
      <c r="G22" s="181" t="str">
        <f>IF(G20="","",G20)</f>
        <v/>
      </c>
      <c r="H22" s="182"/>
    </row>
    <row r="23" spans="1:8" ht="12.75" customHeight="1">
      <c r="B23" s="147" t="s">
        <v>15</v>
      </c>
    </row>
    <row r="58" spans="1:9" ht="12.75" customHeight="1">
      <c r="A58" s="410" t="s">
        <v>406</v>
      </c>
      <c r="B58" s="410"/>
      <c r="C58" s="410"/>
      <c r="D58" s="410"/>
      <c r="E58" s="407">
        <f>D7</f>
        <v>43748</v>
      </c>
      <c r="F58" s="408"/>
      <c r="G58" s="75"/>
      <c r="H58" s="75"/>
      <c r="I58" s="75"/>
    </row>
    <row r="59" spans="1:9" ht="12.75" customHeight="1">
      <c r="A59" s="344"/>
      <c r="B59" s="344"/>
      <c r="C59" s="344"/>
      <c r="D59" s="344"/>
      <c r="E59" s="189"/>
      <c r="F59" s="189"/>
      <c r="G59" s="75"/>
      <c r="H59" s="75"/>
      <c r="I59" s="75"/>
    </row>
    <row r="60" spans="1:9" ht="12.75" customHeight="1">
      <c r="A60" s="344"/>
      <c r="B60" s="344"/>
      <c r="C60" s="344"/>
      <c r="D60" s="344"/>
      <c r="E60" s="75"/>
      <c r="F60" s="75"/>
      <c r="G60" s="75"/>
      <c r="H60" s="75"/>
      <c r="I60" s="75"/>
    </row>
    <row r="61" spans="1:9" ht="12.75" customHeight="1">
      <c r="A61" s="189" t="s">
        <v>507</v>
      </c>
      <c r="B61" s="409" t="str">
        <f>IF(登!$D$1="",""," "&amp;VLOOKUP(登!$D$1,名!$G$2:$J$54,3,0))</f>
        <v/>
      </c>
      <c r="C61" s="409"/>
      <c r="D61" s="409"/>
      <c r="E61" s="189" t="s">
        <v>199</v>
      </c>
      <c r="F61" s="241" t="s">
        <v>529</v>
      </c>
      <c r="G61" s="352" t="s">
        <v>511</v>
      </c>
      <c r="H61" s="75"/>
      <c r="I61" s="75"/>
    </row>
    <row r="62" spans="1:9" ht="12.75" customHeight="1">
      <c r="A62" s="75"/>
      <c r="B62" s="75"/>
      <c r="C62" s="75"/>
      <c r="D62" s="75"/>
      <c r="E62" s="75"/>
      <c r="F62" s="75"/>
      <c r="G62" s="75"/>
      <c r="H62" s="74"/>
      <c r="I62" s="75"/>
    </row>
    <row r="63" spans="1:9" ht="12.75" customHeight="1">
      <c r="A63" s="75"/>
      <c r="B63" s="75"/>
      <c r="C63" s="75"/>
      <c r="D63" s="75"/>
      <c r="E63" s="75"/>
      <c r="F63" s="75"/>
      <c r="G63" s="75"/>
      <c r="H63" s="74"/>
      <c r="I63" s="75"/>
    </row>
    <row r="64" spans="1:9" ht="12.75" customHeight="1">
      <c r="A64" s="189" t="s">
        <v>510</v>
      </c>
      <c r="B64" s="409" t="str">
        <f>IF(登!$D$1="",""," "&amp;VLOOKUP(登!$D$1,名!$G$2:$J$54,4,0))</f>
        <v/>
      </c>
      <c r="C64" s="409"/>
      <c r="D64" s="409"/>
      <c r="E64" s="189" t="s">
        <v>509</v>
      </c>
      <c r="F64" s="241" t="s">
        <v>530</v>
      </c>
      <c r="G64" s="352" t="s">
        <v>511</v>
      </c>
      <c r="H64" s="74"/>
      <c r="I64" s="75"/>
    </row>
    <row r="66" spans="1:10" s="191" customFormat="1" ht="12.75" customHeight="1"/>
    <row r="67" spans="1:10" s="191" customFormat="1" ht="22.5" customHeight="1">
      <c r="B67" s="346">
        <f>B2</f>
        <v>1</v>
      </c>
      <c r="C67" s="398" t="str">
        <f>C2</f>
        <v>令和元年度県高校弓道新人大会（兼）全国選抜県予選会</v>
      </c>
      <c r="D67" s="399"/>
      <c r="E67" s="399"/>
      <c r="F67" s="399"/>
      <c r="G67" s="400"/>
    </row>
    <row r="68" spans="1:10" s="191" customFormat="1" ht="12.75" customHeight="1">
      <c r="B68" s="193"/>
      <c r="C68" s="193"/>
      <c r="D68" s="194"/>
      <c r="E68" s="194"/>
      <c r="F68" s="194"/>
      <c r="G68" s="195"/>
    </row>
    <row r="69" spans="1:10" s="191" customFormat="1" ht="12.75" customHeight="1">
      <c r="B69" s="401" t="str">
        <f>B4</f>
        <v>監督名</v>
      </c>
      <c r="C69" s="401"/>
      <c r="D69" s="402" t="str">
        <f>D4</f>
        <v>○　○　○　○</v>
      </c>
      <c r="E69" s="403"/>
      <c r="F69" s="404"/>
      <c r="G69" s="405" t="str">
        <f>G4</f>
        <v>弁当注文個数</v>
      </c>
      <c r="H69" s="406"/>
      <c r="I69" s="353">
        <f>I4</f>
        <v>0</v>
      </c>
      <c r="J69" s="192"/>
    </row>
    <row r="70" spans="1:10" s="191" customFormat="1" ht="12.75" customHeight="1">
      <c r="B70" s="193"/>
      <c r="C70" s="193"/>
      <c r="D70" s="194"/>
      <c r="E70" s="194"/>
      <c r="F70" s="194"/>
      <c r="G70" s="194"/>
    </row>
    <row r="71" spans="1:10" s="191" customFormat="1" ht="12.75" customHeight="1">
      <c r="B71" s="388" t="str">
        <f t="shared" ref="B71:B74" si="1">B6</f>
        <v>大会番号</v>
      </c>
      <c r="C71" s="388"/>
      <c r="D71" s="397">
        <f>D6</f>
        <v>12</v>
      </c>
      <c r="E71" s="397"/>
      <c r="F71" s="397"/>
      <c r="G71" s="397"/>
      <c r="I71" s="197"/>
    </row>
    <row r="72" spans="1:10" s="191" customFormat="1" ht="12.75" customHeight="1">
      <c r="B72" s="388" t="str">
        <f t="shared" si="1"/>
        <v>参加申込締切</v>
      </c>
      <c r="C72" s="388"/>
      <c r="D72" s="389">
        <f>D7</f>
        <v>43748</v>
      </c>
      <c r="E72" s="390"/>
      <c r="F72" s="391" t="str">
        <f>F7</f>
        <v>木曜日　１６時</v>
      </c>
      <c r="G72" s="392"/>
      <c r="I72" s="197"/>
    </row>
    <row r="73" spans="1:10" s="191" customFormat="1" ht="12.75" customHeight="1">
      <c r="B73" s="388" t="str">
        <f t="shared" si="1"/>
        <v>大会開催日</v>
      </c>
      <c r="C73" s="388"/>
      <c r="D73" s="389">
        <f>D8</f>
        <v>43758</v>
      </c>
      <c r="E73" s="390"/>
      <c r="F73" s="391" t="str">
        <f>F8</f>
        <v>日曜日</v>
      </c>
      <c r="G73" s="392"/>
      <c r="I73" s="197"/>
    </row>
    <row r="74" spans="1:10" s="191" customFormat="1" ht="12.75" customHeight="1">
      <c r="B74" s="388" t="str">
        <f t="shared" si="1"/>
        <v>申込先</v>
      </c>
      <c r="C74" s="388"/>
      <c r="D74" s="393" t="str">
        <f>D9</f>
        <v>高体連弓道専門部大会申込ｱﾄﾞﾚｽ</v>
      </c>
      <c r="E74" s="394"/>
      <c r="F74" s="448" t="str">
        <f>F9</f>
        <v>gunkyumi@yahoo.co.jp</v>
      </c>
      <c r="G74" s="449"/>
      <c r="I74" s="197"/>
    </row>
    <row r="75" spans="1:10" s="191" customFormat="1" ht="12.75" customHeight="1">
      <c r="B75" s="197"/>
      <c r="C75" s="197"/>
      <c r="D75" s="195"/>
      <c r="E75" s="195"/>
      <c r="F75" s="195"/>
      <c r="G75" s="195"/>
      <c r="I75" s="197"/>
    </row>
    <row r="76" spans="1:10" s="191" customFormat="1" ht="22.5" customHeight="1">
      <c r="B76" s="384" t="str">
        <f>B11</f>
        <v>男　子　団　体　参　加　申　込　書</v>
      </c>
      <c r="C76" s="384"/>
      <c r="D76" s="384"/>
      <c r="E76" s="384"/>
      <c r="F76" s="384"/>
      <c r="G76" s="384"/>
    </row>
    <row r="77" spans="1:10" s="191" customFormat="1" ht="12.75" customHeight="1">
      <c r="A77" s="346" t="str">
        <f>IF(A12="","",A12)</f>
        <v>立順</v>
      </c>
      <c r="B77" s="198" t="str">
        <f t="shared" ref="B77:H77" si="2">IF(B12="","",B12)</f>
        <v>チーム</v>
      </c>
      <c r="C77" s="199" t="str">
        <f t="shared" si="2"/>
        <v>校　名</v>
      </c>
      <c r="D77" s="200" t="str">
        <f t="shared" si="2"/>
        <v>登録番号</v>
      </c>
      <c r="E77" s="201" t="str">
        <f t="shared" si="2"/>
        <v>立　順</v>
      </c>
      <c r="F77" s="202" t="str">
        <f t="shared" si="2"/>
        <v>選　　手　　名</v>
      </c>
      <c r="G77" s="203" t="str">
        <f t="shared" si="2"/>
        <v>学　年</v>
      </c>
      <c r="H77" s="349" t="str">
        <f t="shared" si="2"/>
        <v>重複ﾁｪｯｸ</v>
      </c>
    </row>
    <row r="78" spans="1:10" s="191" customFormat="1" ht="12.75" customHeight="1">
      <c r="A78" s="204" t="str">
        <f t="shared" ref="A78:H78" si="3">IF(A13="","",A13)</f>
        <v/>
      </c>
      <c r="B78" s="205" t="str">
        <f t="shared" si="3"/>
        <v>Ａ</v>
      </c>
      <c r="C78" s="234" t="str">
        <f t="shared" si="3"/>
        <v/>
      </c>
      <c r="D78" s="139" t="str">
        <f t="shared" si="3"/>
        <v/>
      </c>
      <c r="E78" s="234">
        <f t="shared" si="3"/>
        <v>1</v>
      </c>
      <c r="F78" s="208" t="str">
        <f t="shared" si="3"/>
        <v/>
      </c>
      <c r="G78" s="209" t="str">
        <f t="shared" si="3"/>
        <v/>
      </c>
      <c r="H78" s="209" t="str">
        <f t="shared" si="3"/>
        <v/>
      </c>
    </row>
    <row r="79" spans="1:10" s="191" customFormat="1" ht="12.75" customHeight="1">
      <c r="A79" s="210" t="str">
        <f t="shared" ref="A79:H79" si="4">IF(A14="","",A14)</f>
        <v/>
      </c>
      <c r="B79" s="211" t="str">
        <f t="shared" si="4"/>
        <v>Ａ</v>
      </c>
      <c r="C79" s="235" t="str">
        <f t="shared" si="4"/>
        <v/>
      </c>
      <c r="D79" s="140" t="str">
        <f t="shared" si="4"/>
        <v/>
      </c>
      <c r="E79" s="235">
        <f t="shared" si="4"/>
        <v>2</v>
      </c>
      <c r="F79" s="214" t="str">
        <f t="shared" si="4"/>
        <v/>
      </c>
      <c r="G79" s="215" t="str">
        <f t="shared" si="4"/>
        <v/>
      </c>
      <c r="H79" s="215" t="str">
        <f t="shared" si="4"/>
        <v/>
      </c>
    </row>
    <row r="80" spans="1:10" s="191" customFormat="1" ht="12.75" customHeight="1">
      <c r="A80" s="210" t="str">
        <f t="shared" ref="A80:H80" si="5">IF(A15="","",A15)</f>
        <v/>
      </c>
      <c r="B80" s="211" t="str">
        <f t="shared" si="5"/>
        <v>Ａ</v>
      </c>
      <c r="C80" s="235" t="str">
        <f t="shared" si="5"/>
        <v/>
      </c>
      <c r="D80" s="140" t="str">
        <f t="shared" si="5"/>
        <v/>
      </c>
      <c r="E80" s="235">
        <f t="shared" si="5"/>
        <v>3</v>
      </c>
      <c r="F80" s="214" t="str">
        <f t="shared" si="5"/>
        <v/>
      </c>
      <c r="G80" s="215" t="str">
        <f t="shared" si="5"/>
        <v/>
      </c>
      <c r="H80" s="215" t="str">
        <f t="shared" si="5"/>
        <v/>
      </c>
    </row>
    <row r="81" spans="1:8" s="191" customFormat="1" ht="12.75" customHeight="1">
      <c r="A81" s="210" t="str">
        <f t="shared" ref="A81:H81" si="6">IF(A16="","",A16)</f>
        <v/>
      </c>
      <c r="B81" s="211" t="str">
        <f t="shared" si="6"/>
        <v>Ａ</v>
      </c>
      <c r="C81" s="235" t="str">
        <f t="shared" si="6"/>
        <v/>
      </c>
      <c r="D81" s="140" t="str">
        <f t="shared" si="6"/>
        <v/>
      </c>
      <c r="E81" s="235">
        <f t="shared" si="6"/>
        <v>4</v>
      </c>
      <c r="F81" s="214" t="str">
        <f t="shared" si="6"/>
        <v/>
      </c>
      <c r="G81" s="215" t="str">
        <f t="shared" si="6"/>
        <v/>
      </c>
      <c r="H81" s="215" t="str">
        <f t="shared" si="6"/>
        <v/>
      </c>
    </row>
    <row r="82" spans="1:8" s="191" customFormat="1" ht="12.75" customHeight="1">
      <c r="A82" s="204" t="str">
        <f t="shared" ref="A82:H82" si="7">IF(A17="","",A17)</f>
        <v/>
      </c>
      <c r="B82" s="205" t="str">
        <f t="shared" si="7"/>
        <v>Ｂ</v>
      </c>
      <c r="C82" s="234" t="str">
        <f t="shared" si="7"/>
        <v/>
      </c>
      <c r="D82" s="139" t="str">
        <f t="shared" si="7"/>
        <v/>
      </c>
      <c r="E82" s="234">
        <f t="shared" si="7"/>
        <v>5</v>
      </c>
      <c r="F82" s="208" t="str">
        <f t="shared" si="7"/>
        <v/>
      </c>
      <c r="G82" s="209" t="str">
        <f t="shared" si="7"/>
        <v/>
      </c>
      <c r="H82" s="209" t="str">
        <f t="shared" si="7"/>
        <v/>
      </c>
    </row>
    <row r="83" spans="1:8" s="191" customFormat="1" ht="12.75" customHeight="1">
      <c r="A83" s="210" t="str">
        <f t="shared" ref="A83:H83" si="8">IF(A18="","",A18)</f>
        <v/>
      </c>
      <c r="B83" s="211" t="str">
        <f t="shared" si="8"/>
        <v>Ｂ</v>
      </c>
      <c r="C83" s="235" t="str">
        <f t="shared" si="8"/>
        <v/>
      </c>
      <c r="D83" s="140" t="str">
        <f t="shared" si="8"/>
        <v/>
      </c>
      <c r="E83" s="235">
        <f t="shared" si="8"/>
        <v>6</v>
      </c>
      <c r="F83" s="214" t="str">
        <f t="shared" si="8"/>
        <v/>
      </c>
      <c r="G83" s="215" t="str">
        <f t="shared" si="8"/>
        <v/>
      </c>
      <c r="H83" s="215" t="str">
        <f t="shared" si="8"/>
        <v/>
      </c>
    </row>
    <row r="84" spans="1:8" s="191" customFormat="1" ht="12.75" customHeight="1">
      <c r="A84" s="210" t="str">
        <f t="shared" ref="A84:H84" si="9">IF(A19="","",A19)</f>
        <v/>
      </c>
      <c r="B84" s="211" t="str">
        <f t="shared" si="9"/>
        <v>Ｂ</v>
      </c>
      <c r="C84" s="235" t="str">
        <f t="shared" si="9"/>
        <v/>
      </c>
      <c r="D84" s="140" t="str">
        <f t="shared" si="9"/>
        <v/>
      </c>
      <c r="E84" s="235">
        <f t="shared" si="9"/>
        <v>7</v>
      </c>
      <c r="F84" s="214" t="str">
        <f t="shared" si="9"/>
        <v/>
      </c>
      <c r="G84" s="215" t="str">
        <f t="shared" si="9"/>
        <v/>
      </c>
      <c r="H84" s="215" t="str">
        <f t="shared" si="9"/>
        <v/>
      </c>
    </row>
    <row r="85" spans="1:8" s="191" customFormat="1" ht="12.75" customHeight="1">
      <c r="A85" s="225" t="str">
        <f t="shared" ref="A85:H85" si="10">IF(A20="","",A20)</f>
        <v/>
      </c>
      <c r="B85" s="226" t="str">
        <f t="shared" si="10"/>
        <v>Ｂ</v>
      </c>
      <c r="C85" s="236" t="str">
        <f t="shared" si="10"/>
        <v/>
      </c>
      <c r="D85" s="141" t="str">
        <f t="shared" si="10"/>
        <v/>
      </c>
      <c r="E85" s="236">
        <f t="shared" si="10"/>
        <v>8</v>
      </c>
      <c r="F85" s="237" t="str">
        <f t="shared" si="10"/>
        <v/>
      </c>
      <c r="G85" s="230" t="str">
        <f t="shared" si="10"/>
        <v/>
      </c>
      <c r="H85" s="230" t="str">
        <f t="shared" si="10"/>
        <v/>
      </c>
    </row>
    <row r="86" spans="1:8" s="191" customFormat="1" ht="12.75" customHeight="1">
      <c r="A86" s="204" t="str">
        <f t="shared" ref="A86:H86" si="11">IF(A21="","",A21)</f>
        <v/>
      </c>
      <c r="B86" s="205" t="str">
        <f t="shared" si="11"/>
        <v>Ａ</v>
      </c>
      <c r="C86" s="234" t="str">
        <f t="shared" si="11"/>
        <v/>
      </c>
      <c r="D86" s="139" t="str">
        <f t="shared" si="11"/>
        <v/>
      </c>
      <c r="E86" s="234">
        <f t="shared" si="11"/>
        <v>4</v>
      </c>
      <c r="F86" s="208" t="str">
        <f t="shared" si="11"/>
        <v/>
      </c>
      <c r="G86" s="209" t="str">
        <f t="shared" si="11"/>
        <v/>
      </c>
      <c r="H86" s="224" t="str">
        <f t="shared" si="11"/>
        <v/>
      </c>
    </row>
    <row r="87" spans="1:8" s="191" customFormat="1" ht="12.75" customHeight="1">
      <c r="A87" s="225" t="str">
        <f t="shared" ref="A87:H87" si="12">IF(A22="","",A22)</f>
        <v/>
      </c>
      <c r="B87" s="226" t="str">
        <f t="shared" si="12"/>
        <v>Ｂ</v>
      </c>
      <c r="C87" s="236" t="str">
        <f t="shared" si="12"/>
        <v/>
      </c>
      <c r="D87" s="141" t="str">
        <f t="shared" si="12"/>
        <v/>
      </c>
      <c r="E87" s="236">
        <f t="shared" si="12"/>
        <v>8</v>
      </c>
      <c r="F87" s="237" t="str">
        <f t="shared" si="12"/>
        <v/>
      </c>
      <c r="G87" s="230" t="str">
        <f t="shared" si="12"/>
        <v/>
      </c>
      <c r="H87" s="231" t="str">
        <f t="shared" si="12"/>
        <v/>
      </c>
    </row>
    <row r="88" spans="1:8" s="191" customFormat="1" ht="12.75" customHeight="1">
      <c r="B88" s="197" t="str">
        <f>B23</f>
        <v>（４はＡチーム補欠、８はＢチーム補欠です）</v>
      </c>
    </row>
    <row r="89" spans="1:8" s="191" customFormat="1" ht="12.75" customHeight="1"/>
    <row r="90" spans="1:8" s="191" customFormat="1" ht="12.75" customHeight="1"/>
    <row r="91" spans="1:8" s="191" customFormat="1" ht="12.75" customHeight="1"/>
    <row r="92" spans="1:8" s="191" customFormat="1" ht="12.75" customHeight="1"/>
    <row r="93" spans="1:8" s="191" customFormat="1" ht="12.75" customHeight="1"/>
    <row r="94" spans="1:8" s="191" customFormat="1" ht="12.75" customHeight="1"/>
    <row r="95" spans="1:8" s="191" customFormat="1" ht="12.75" customHeight="1"/>
    <row r="96" spans="1:8" s="191" customFormat="1" ht="12.75" customHeight="1"/>
    <row r="97" s="191" customFormat="1" ht="12.75" customHeight="1"/>
    <row r="98" s="191" customFormat="1" ht="12.75" customHeight="1"/>
    <row r="99" s="191" customFormat="1" ht="12.75" customHeight="1"/>
    <row r="100" s="191" customFormat="1" ht="12.75" customHeight="1"/>
    <row r="101" s="191" customFormat="1" ht="12.75" customHeight="1"/>
    <row r="102" s="191" customFormat="1" ht="12.75" customHeight="1"/>
    <row r="103" s="191" customFormat="1" ht="12.75" customHeight="1"/>
    <row r="104" s="191" customFormat="1" ht="12.75" customHeight="1"/>
    <row r="105" s="191" customFormat="1" ht="12.75" customHeight="1"/>
    <row r="106" s="191" customFormat="1" ht="12.75" customHeight="1"/>
    <row r="107" s="191" customFormat="1" ht="12.75" customHeight="1"/>
    <row r="108" s="191" customFormat="1" ht="12.75" customHeight="1"/>
    <row r="109" s="191" customFormat="1" ht="12.75" customHeight="1"/>
    <row r="110" s="191" customFormat="1" ht="12.75" customHeight="1"/>
    <row r="111" s="191" customFormat="1" ht="12.75" customHeight="1"/>
    <row r="112" s="191" customFormat="1" ht="12.75" customHeight="1"/>
    <row r="113" spans="1:9" s="191" customFormat="1" ht="12.75" customHeight="1"/>
    <row r="114" spans="1:9" s="191" customFormat="1" ht="12.75" customHeight="1"/>
    <row r="115" spans="1:9" s="191" customFormat="1" ht="12.75" customHeight="1"/>
    <row r="116" spans="1:9" s="191" customFormat="1" ht="12.75" customHeight="1"/>
    <row r="117" spans="1:9" s="191" customFormat="1" ht="12.75" customHeight="1"/>
    <row r="118" spans="1:9" s="191" customFormat="1" ht="12.75" customHeight="1"/>
    <row r="119" spans="1:9" s="191" customFormat="1" ht="12.75" customHeight="1"/>
    <row r="120" spans="1:9" s="191" customFormat="1" ht="12.75" customHeight="1"/>
    <row r="121" spans="1:9" s="191" customFormat="1" ht="12.75" customHeight="1"/>
    <row r="122" spans="1:9" s="191" customFormat="1" ht="12.75" customHeight="1"/>
    <row r="123" spans="1:9" s="191" customFormat="1" ht="12.75" customHeight="1">
      <c r="A123" s="385" t="s">
        <v>406</v>
      </c>
      <c r="B123" s="385"/>
      <c r="C123" s="385"/>
      <c r="D123" s="385"/>
      <c r="E123" s="386">
        <f>E58</f>
        <v>43748</v>
      </c>
      <c r="F123" s="387"/>
      <c r="G123" s="238"/>
      <c r="H123" s="238"/>
      <c r="I123" s="238"/>
    </row>
    <row r="124" spans="1:9" s="191" customFormat="1" ht="12.75" customHeight="1">
      <c r="A124" s="348"/>
      <c r="B124" s="348"/>
      <c r="C124" s="348"/>
      <c r="D124" s="348"/>
      <c r="E124" s="239"/>
      <c r="F124" s="239"/>
      <c r="G124" s="238"/>
      <c r="H124" s="238"/>
      <c r="I124" s="238"/>
    </row>
    <row r="125" spans="1:9" s="191" customFormat="1" ht="12.75" customHeight="1">
      <c r="A125" s="348"/>
      <c r="B125" s="348"/>
      <c r="C125" s="348"/>
      <c r="D125" s="348"/>
      <c r="E125" s="238"/>
      <c r="F125" s="238"/>
      <c r="G125" s="238"/>
      <c r="H125" s="238"/>
      <c r="I125" s="238"/>
    </row>
    <row r="126" spans="1:9" s="191" customFormat="1" ht="12.75" customHeight="1">
      <c r="A126" s="239" t="s">
        <v>507</v>
      </c>
      <c r="B126" s="383" t="str">
        <f>B61</f>
        <v/>
      </c>
      <c r="C126" s="383"/>
      <c r="D126" s="383"/>
      <c r="E126" s="239" t="s">
        <v>199</v>
      </c>
      <c r="F126" s="249" t="str">
        <f>F61</f>
        <v xml:space="preserve">○　○　○　○　 </v>
      </c>
      <c r="G126" s="347" t="s">
        <v>511</v>
      </c>
      <c r="H126" s="238"/>
      <c r="I126" s="238"/>
    </row>
    <row r="127" spans="1:9" s="191" customFormat="1" ht="12.75" customHeight="1">
      <c r="A127" s="238"/>
      <c r="B127" s="238"/>
      <c r="C127" s="238"/>
      <c r="D127" s="238"/>
      <c r="E127" s="238"/>
      <c r="F127" s="238"/>
      <c r="G127" s="238"/>
      <c r="H127" s="240"/>
      <c r="I127" s="238"/>
    </row>
    <row r="128" spans="1:9" s="191" customFormat="1" ht="12.75" customHeight="1">
      <c r="A128" s="238"/>
      <c r="B128" s="238"/>
      <c r="C128" s="238"/>
      <c r="D128" s="238"/>
      <c r="E128" s="238"/>
      <c r="F128" s="238"/>
      <c r="G128" s="238"/>
      <c r="H128" s="240"/>
      <c r="I128" s="238"/>
    </row>
    <row r="129" spans="1:9" s="191" customFormat="1" ht="12.75" customHeight="1">
      <c r="A129" s="239" t="s">
        <v>510</v>
      </c>
      <c r="B129" s="383" t="str">
        <f>B64</f>
        <v/>
      </c>
      <c r="C129" s="383"/>
      <c r="D129" s="383"/>
      <c r="E129" s="239" t="s">
        <v>509</v>
      </c>
      <c r="F129" s="249" t="str">
        <f>F64</f>
        <v xml:space="preserve">○　○　○　○　 </v>
      </c>
      <c r="G129" s="347" t="s">
        <v>511</v>
      </c>
      <c r="H129" s="240"/>
      <c r="I129" s="238"/>
    </row>
    <row r="130" spans="1:9" s="191" customFormat="1" ht="12.75" customHeight="1"/>
  </sheetData>
  <sheetProtection password="CC71" sheet="1" objects="1" scenarios="1"/>
  <mergeCells count="43">
    <mergeCell ref="A2:A4"/>
    <mergeCell ref="B76:G76"/>
    <mergeCell ref="A123:D123"/>
    <mergeCell ref="E123:F123"/>
    <mergeCell ref="B126:D126"/>
    <mergeCell ref="B71:C71"/>
    <mergeCell ref="D71:G71"/>
    <mergeCell ref="B72:C72"/>
    <mergeCell ref="D72:E72"/>
    <mergeCell ref="F72:G72"/>
    <mergeCell ref="B69:C69"/>
    <mergeCell ref="D69:F69"/>
    <mergeCell ref="G69:H69"/>
    <mergeCell ref="B11:G11"/>
    <mergeCell ref="B9:C9"/>
    <mergeCell ref="F9:G9"/>
    <mergeCell ref="B129:D129"/>
    <mergeCell ref="B73:C73"/>
    <mergeCell ref="D73:E73"/>
    <mergeCell ref="F73:G73"/>
    <mergeCell ref="B74:C74"/>
    <mergeCell ref="D74:E74"/>
    <mergeCell ref="F74:G74"/>
    <mergeCell ref="K2:K3"/>
    <mergeCell ref="L2:L3"/>
    <mergeCell ref="F7:G7"/>
    <mergeCell ref="B4:C4"/>
    <mergeCell ref="B6:C6"/>
    <mergeCell ref="D6:G6"/>
    <mergeCell ref="B7:C7"/>
    <mergeCell ref="C2:G2"/>
    <mergeCell ref="D4:F4"/>
    <mergeCell ref="G4:H4"/>
    <mergeCell ref="D7:E7"/>
    <mergeCell ref="B61:D61"/>
    <mergeCell ref="B64:D64"/>
    <mergeCell ref="C67:G67"/>
    <mergeCell ref="D9:E9"/>
    <mergeCell ref="B8:C8"/>
    <mergeCell ref="D8:E8"/>
    <mergeCell ref="F8:G8"/>
    <mergeCell ref="A58:D58"/>
    <mergeCell ref="E58:F58"/>
  </mergeCells>
  <phoneticPr fontId="2"/>
  <dataValidations count="1">
    <dataValidation type="list" allowBlank="1" showInputMessage="1" showErrorMessage="1" errorTitle="個数エラー" error="0～2を入力" sqref="I4">
      <formula1>"0,1,2"</formula1>
    </dataValidation>
  </dataValidations>
  <hyperlinks>
    <hyperlink ref="F9:G9" r:id="rId1" display="gunkyumi@yahoo.co.jp"/>
    <hyperlink ref="F74:G74" r:id="rId2" display="gunkyumi@yahoo.co.jp"/>
  </hyperlinks>
  <printOptions horizontalCentered="1"/>
  <pageMargins left="0.39370078740157483" right="0.39370078740157483" top="0.39370078740157483" bottom="0.39370078740157483" header="0" footer="0"/>
  <pageSetup paperSize="9" orientation="portrait" horizontalDpi="300" r:id="rId3"/>
  <headerFooter alignWithMargins="0"/>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2:L130"/>
  <sheetViews>
    <sheetView zoomScaleNormal="100" workbookViewId="0"/>
  </sheetViews>
  <sheetFormatPr defaultColWidth="9" defaultRowHeight="12.75" customHeight="1"/>
  <cols>
    <col min="1" max="3" width="8.125" style="143" customWidth="1"/>
    <col min="4" max="4" width="15" style="143" customWidth="1"/>
    <col min="5" max="5" width="8.125" style="143" customWidth="1"/>
    <col min="6" max="6" width="24.25" style="143" customWidth="1"/>
    <col min="7" max="8" width="8.125" style="143" customWidth="1"/>
    <col min="9" max="9" width="4.25" style="143" customWidth="1"/>
    <col min="10" max="10" width="6.125" style="143" customWidth="1"/>
    <col min="11" max="16384" width="9" style="143"/>
  </cols>
  <sheetData>
    <row r="2" spans="1:12" ht="22.5" customHeight="1">
      <c r="A2" s="382" t="s">
        <v>518</v>
      </c>
      <c r="B2" s="340">
        <v>2</v>
      </c>
      <c r="C2" s="424" t="str">
        <f>日!B1&amp;"県高校弓道新人大会（兼）全国選抜県予選会"</f>
        <v>令和元年度県高校弓道新人大会（兼）全国選抜県予選会</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531</v>
      </c>
    </row>
    <row r="5" spans="1:12" ht="12.75" customHeight="1">
      <c r="B5" s="144"/>
      <c r="C5" s="144"/>
      <c r="D5" s="145"/>
      <c r="E5" s="145"/>
      <c r="F5" s="145"/>
      <c r="G5" s="145"/>
      <c r="K5" s="341" t="str">
        <f>SUBSTITUTE(SUBSTITUTE(K4," ",""),"　","")</f>
        <v>○○</v>
      </c>
      <c r="L5" s="341" t="str">
        <f>SUBSTITUTE(SUBSTITUTE(L4," ",""),"　","")</f>
        <v>○○</v>
      </c>
    </row>
    <row r="6" spans="1:12" ht="12.75" customHeight="1">
      <c r="B6" s="411" t="s">
        <v>39</v>
      </c>
      <c r="C6" s="411"/>
      <c r="D6" s="427">
        <v>13</v>
      </c>
      <c r="E6" s="427"/>
      <c r="F6" s="427"/>
      <c r="G6" s="427"/>
      <c r="I6" s="147"/>
    </row>
    <row r="7" spans="1:12" ht="12.75" customHeight="1">
      <c r="B7" s="411" t="s">
        <v>40</v>
      </c>
      <c r="C7" s="411"/>
      <c r="D7" s="422">
        <f>VLOOKUP(D6,日!$B$2:$F$111,3,0)</f>
        <v>43748</v>
      </c>
      <c r="E7" s="423"/>
      <c r="F7" s="416" t="str">
        <f>TEXT(WEEKDAY(D7,1),"aaaa")&amp;"　１６時"</f>
        <v>木曜日　１６時</v>
      </c>
      <c r="G7" s="417"/>
      <c r="I7" s="147"/>
    </row>
    <row r="8" spans="1:12" ht="12.75" customHeight="1">
      <c r="B8" s="411" t="s">
        <v>38</v>
      </c>
      <c r="C8" s="411"/>
      <c r="D8" s="418">
        <f>VLOOKUP(D6,日!$B$2:$F$111,5,0)</f>
        <v>43757</v>
      </c>
      <c r="E8" s="419"/>
      <c r="F8" s="420" t="str">
        <f>TEXT(WEEKDAY(D8,1),"aaaa")</f>
        <v>土曜日</v>
      </c>
      <c r="G8" s="421"/>
      <c r="I8" s="147"/>
    </row>
    <row r="9" spans="1:12" ht="12.75" customHeight="1">
      <c r="B9" s="411" t="s">
        <v>41</v>
      </c>
      <c r="C9" s="411"/>
      <c r="D9" s="412" t="s">
        <v>45</v>
      </c>
      <c r="E9" s="413"/>
      <c r="F9" s="395" t="s">
        <v>46</v>
      </c>
      <c r="G9" s="396"/>
      <c r="I9" s="147"/>
    </row>
    <row r="10" spans="1:12" ht="12.75" customHeight="1">
      <c r="B10" s="147"/>
      <c r="C10" s="147"/>
      <c r="D10" s="146"/>
      <c r="E10" s="146"/>
      <c r="F10" s="146"/>
      <c r="G10" s="146"/>
      <c r="I10" s="147"/>
    </row>
    <row r="11" spans="1:12" ht="22.5" customHeight="1">
      <c r="B11" s="414" t="str">
        <f>IF(B2=1,"男　子　団　体　参　加　申　込　書","女　子　団　体　参　加　申　込　書")</f>
        <v>女　子　団　体　参　加　申　込　書</v>
      </c>
      <c r="C11" s="414"/>
      <c r="D11" s="414"/>
      <c r="E11" s="414"/>
      <c r="F11" s="414"/>
      <c r="G11" s="414"/>
    </row>
    <row r="12" spans="1:12" ht="12.75" customHeight="1">
      <c r="A12" s="340" t="s">
        <v>32</v>
      </c>
      <c r="B12" s="148" t="s">
        <v>22</v>
      </c>
      <c r="C12" s="149" t="s">
        <v>10</v>
      </c>
      <c r="D12" s="150" t="s">
        <v>33</v>
      </c>
      <c r="E12" s="151" t="s">
        <v>12</v>
      </c>
      <c r="F12" s="152" t="s">
        <v>13</v>
      </c>
      <c r="G12" s="153" t="s">
        <v>14</v>
      </c>
      <c r="H12" s="341" t="s">
        <v>47</v>
      </c>
    </row>
    <row r="13" spans="1:12" ht="12.75" customHeight="1">
      <c r="A13" s="154" t="str">
        <f>IF($B$2=1,IF($D$13="","",IF(COUNT($D$13:$D$16)=1,VLOOKUP(登!$D$1,立男!$A$4:$I$100,8,0)+100,VLOOKUP(登!$D$1,立男!$A$4:$I$100,8,0))),IF($D$13="","",IF(COUNT($D$13:$D$16)=1,VLOOKUP(登!$D$1,立女!$A$4:$I$100,8,0)+100,VLOOKUP(登!$D$1,立女!$A$4:$I$100,8,0))))</f>
        <v/>
      </c>
      <c r="B13" s="155" t="s">
        <v>16</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IF(D13="","",IF(COUNTIF($D$13:$D$20,D13)&gt;1,"選手重複!!","OK"))</f>
        <v/>
      </c>
    </row>
    <row r="14" spans="1:12" ht="12.75" customHeight="1">
      <c r="A14" s="160" t="str">
        <f>IF($B$2=1,IF($D$13="","",IF(COUNT($D$13:$D$16)=1,VLOOKUP(登!$D$1,立男!$A$4:$I$100,8,0)+100,VLOOKUP(登!$D$1,立男!$A$4:$I$100,8,0))),IF($D$13="","",IF(COUNT($D$13:$D$16)=1,VLOOKUP(登!$D$1,立女!$A$4:$I$100,8,0)+100,VLOOKUP(登!$D$1,立女!$A$4:$I$100,8,0))))</f>
        <v/>
      </c>
      <c r="B14" s="161" t="s">
        <v>16</v>
      </c>
      <c r="C14" s="186" t="str">
        <f>IF(D14="","",登!$F$1)</f>
        <v/>
      </c>
      <c r="D14" s="64"/>
      <c r="E14" s="186">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 t="shared" ref="H14:H20" si="0">IF(D14="","",IF(COUNTIF($D$13:$D$20,D14)&gt;1,"選手重複!!","OK"))</f>
        <v/>
      </c>
    </row>
    <row r="15" spans="1:12" ht="12.75" customHeight="1">
      <c r="A15" s="160" t="str">
        <f>IF($B$2=1,IF($D$13="","",IF(COUNT($D$13:$D$16)=1,VLOOKUP(登!$D$1,立男!$A$4:$I$100,8,0)+100,VLOOKUP(登!$D$1,立男!$A$4:$I$100,8,0))),IF($D$13="","",IF(COUNT($D$13:$D$16)=1,VLOOKUP(登!$D$1,立女!$A$4:$I$100,8,0)+100,VLOOKUP(登!$D$1,立女!$A$4:$I$100,8,0))))</f>
        <v/>
      </c>
      <c r="B15" s="161" t="s">
        <v>16</v>
      </c>
      <c r="C15" s="186" t="str">
        <f>IF(D15="","",登!$F$1)</f>
        <v/>
      </c>
      <c r="D15" s="64"/>
      <c r="E15" s="186">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5" t="str">
        <f t="shared" si="0"/>
        <v/>
      </c>
    </row>
    <row r="16" spans="1:12" ht="12.75" customHeight="1">
      <c r="A16" s="160" t="str">
        <f>IF($B$2=1,IF($D$13="","",IF(COUNT($D$13:$D$16)=1,VLOOKUP(登!$D$1,立男!$A$4:$I$100,8,0)+100,VLOOKUP(登!$D$1,立男!$A$4:$I$100,8,0))),IF($D$13="","",IF(COUNT($D$13:$D$16)=1,VLOOKUP(登!$D$1,立女!$A$4:$I$100,8,0)+100,VLOOKUP(登!$D$1,立女!$A$4:$I$100,8,0))))</f>
        <v/>
      </c>
      <c r="B16" s="161" t="s">
        <v>16</v>
      </c>
      <c r="C16" s="186" t="str">
        <f>IF(D16="","",登!$F$1)</f>
        <v/>
      </c>
      <c r="D16" s="64"/>
      <c r="E16" s="186">
        <v>4</v>
      </c>
      <c r="F16" s="164" t="str">
        <f>IF(D16="","",IF(COUNTIF($D$13:D16,"")&gt;0,"大前から詰めて入力",IF(INT(VALUE(RIGHT(D16,3))/100)=$B$2,VLOOKUP(D16,登!$B$4:$I$103,7,0),"部員番号入力ミス")))</f>
        <v/>
      </c>
      <c r="G16" s="165" t="str">
        <f>IF(D16="","",IF(INT(VALUE(RIGHT(D16,3))/100)=$B$2,IF(VLOOKUP(D16,登!$B$4:$I$103,2,0)=登!$B$1,1,IF(VLOOKUP(D16,登!$B$4:$I$103,2,0)=登!$B$1-1,2,IF(VLOOKUP(D16,登!$B$4:$I$103,2,0)=登!$B$1-2,3,"学年ミス"))),"番号ミス"))</f>
        <v/>
      </c>
      <c r="H16" s="165" t="str">
        <f t="shared" si="0"/>
        <v/>
      </c>
    </row>
    <row r="17" spans="1:8" ht="12.75" customHeight="1">
      <c r="A17" s="154" t="str">
        <f>IF($B$2=1,IF($D$17="","",IF(COUNT($D$17:$D$20)=1,VLOOKUP(登!$D$1,立男!$A$4:$I$100,8,0)+1100,VLOOKUP(登!$D$1,立男!$A$4:$I$100,8,0)+1000)),IF($D$17="","",IF(COUNT($D$17:$D$20)=1,VLOOKUP(登!$D$1,立女!$A$4:$I$100,8,0)+1100,VLOOKUP(登!$D$1,立女!$A$4:$I$100,8,0)+1000)))</f>
        <v/>
      </c>
      <c r="B17" s="155" t="s">
        <v>17</v>
      </c>
      <c r="C17" s="185" t="str">
        <f>IF(D17="","",登!$F$1)</f>
        <v/>
      </c>
      <c r="D17" s="63"/>
      <c r="E17" s="185">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9" t="str">
        <f t="shared" si="0"/>
        <v/>
      </c>
    </row>
    <row r="18" spans="1:8" ht="12.75" customHeight="1">
      <c r="A18" s="160" t="str">
        <f>IF($B$2=1,IF($D$17="","",IF(COUNT($D$17:$D$20)=1,VLOOKUP(登!$D$1,立男!$A$4:$I$100,8,0)+1100,VLOOKUP(登!$D$1,立男!$A$4:$I$100,8,0)+1000)),IF($D$17="","",IF(COUNT($D$17:$D$20)=1,VLOOKUP(登!$D$1,立女!$A$4:$I$100,8,0)+1100,VLOOKUP(登!$D$1,立女!$A$4:$I$100,8,0)+1000)))</f>
        <v/>
      </c>
      <c r="B18" s="161" t="s">
        <v>17</v>
      </c>
      <c r="C18" s="186" t="str">
        <f>IF(D18="","",登!$F$1)</f>
        <v/>
      </c>
      <c r="D18" s="64"/>
      <c r="E18" s="186">
        <v>6</v>
      </c>
      <c r="F18" s="164" t="str">
        <f>IF(D18="","",IF(COUNTIF($D$13:$D$16,"")=4,"Ａチームから入力",IF(COUNTIF($D$17:D18,"")&gt;0,"大前から詰めて入力",IF(INT(VALUE(RIGHT(D18,3))/100)=$B$2,VLOOKUP(D18,登!$B$4:$I$103,7,0),"部員番号入力ミス"))))</f>
        <v/>
      </c>
      <c r="G18" s="165" t="str">
        <f>IF(D18="","",IF(INT(VALUE(RIGHT(D18,3))/100)=$B$2,IF(VLOOKUP(D18,登!$B$4:$I$103,2,0)=登!$B$1,1,IF(VLOOKUP(D18,登!$B$4:$I$103,2,0)=登!$B$1-1,2,IF(VLOOKUP(D18,登!$B$4:$I$103,2,0)=登!$B$1-2,3,"学年ミス"))),"番号ミス"))</f>
        <v/>
      </c>
      <c r="H18" s="165" t="str">
        <f t="shared" si="0"/>
        <v/>
      </c>
    </row>
    <row r="19" spans="1:8" ht="12.75" customHeight="1">
      <c r="A19" s="160" t="str">
        <f>IF($B$2=1,IF($D$17="","",IF(COUNT($D$17:$D$20)=1,VLOOKUP(登!$D$1,立男!$A$4:$I$100,8,0)+1100,VLOOKUP(登!$D$1,立男!$A$4:$I$100,8,0)+1000)),IF($D$17="","",IF(COUNT($D$17:$D$20)=1,VLOOKUP(登!$D$1,立女!$A$4:$I$100,8,0)+1100,VLOOKUP(登!$D$1,立女!$A$4:$I$100,8,0)+1000)))</f>
        <v/>
      </c>
      <c r="B19" s="161" t="s">
        <v>17</v>
      </c>
      <c r="C19" s="186" t="str">
        <f>IF(D19="","",登!$F$1)</f>
        <v/>
      </c>
      <c r="D19" s="64"/>
      <c r="E19" s="186">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5" t="str">
        <f t="shared" si="0"/>
        <v/>
      </c>
    </row>
    <row r="20" spans="1:8" ht="12.75" customHeight="1">
      <c r="A20" s="175" t="str">
        <f>IF($B$2=1,IF($D$17="","",IF(COUNT($D$17:$D$20)=1,VLOOKUP(登!$D$1,立男!$A$4:$I$100,8,0)+1100,VLOOKUP(登!$D$1,立男!$A$4:$I$100,8,0)+1000)),IF($D$17="","",IF(COUNT($D$17:$D$20)=1,VLOOKUP(登!$D$1,立女!$A$4:$I$100,8,0)+1100,VLOOKUP(登!$D$1,立女!$A$4:$I$100,8,0)+1000)))</f>
        <v/>
      </c>
      <c r="B20" s="176" t="s">
        <v>17</v>
      </c>
      <c r="C20" s="187" t="str">
        <f>IF(D20="","",登!$F$1)</f>
        <v/>
      </c>
      <c r="D20" s="66"/>
      <c r="E20" s="187">
        <v>8</v>
      </c>
      <c r="F20" s="188" t="str">
        <f>IF(D20="","",IF(COUNTIF($D$13:$D$16,"")=4,"Ａチームから入力",IF(COUNTIF($D$17:D20,"")&gt;0,"大前から詰めて入力",IF(INT(VALUE(RIGHT(D20,3))/100)=$B$2,VLOOKUP(D20,登!$B$4:$I$103,7,0),"部員番号入力ミス"))))</f>
        <v/>
      </c>
      <c r="G20" s="181" t="str">
        <f>IF(D20="","",IF(INT(VALUE(RIGHT(D20,3))/100)=$B$2,IF(VLOOKUP(D20,登!$B$4:$I$103,2,0)=登!$B$1,1,IF(VLOOKUP(D20,登!$B$4:$I$103,2,0)=登!$B$1-1,2,IF(VLOOKUP(D20,登!$B$4:$I$103,2,0)=登!$B$1-2,3,"学年ミス"))),"番号ミス"))</f>
        <v/>
      </c>
      <c r="H20" s="181" t="str">
        <f t="shared" si="0"/>
        <v/>
      </c>
    </row>
    <row r="21" spans="1:8" ht="12.75" customHeight="1">
      <c r="A21" s="154" t="str">
        <f>IF($B$2=1,IF(D21="","",VLOOKUP(登!$D$1,立男!$A$4:$I$100,8,0)+2000),IF(D21="","",VLOOKUP(登!$D$1,立女!$A$4:$I$100,8,0)+2000))</f>
        <v/>
      </c>
      <c r="B21" s="155" t="s">
        <v>261</v>
      </c>
      <c r="C21" s="185" t="str">
        <f>IF(C16="","",C16)</f>
        <v/>
      </c>
      <c r="D21" s="172" t="str">
        <f>IF(D16="","",D16)</f>
        <v/>
      </c>
      <c r="E21" s="185">
        <f>IF(E16="","",E16)</f>
        <v>4</v>
      </c>
      <c r="F21" s="158" t="str">
        <f>IF(F16="","",F16)</f>
        <v/>
      </c>
      <c r="G21" s="159" t="str">
        <f>IF(G16="","",G16)</f>
        <v/>
      </c>
      <c r="H21" s="174"/>
    </row>
    <row r="22" spans="1:8" ht="12.75" customHeight="1">
      <c r="A22" s="175" t="str">
        <f>IF($B$2=1,IF(D22="","",VLOOKUP(登!$D$1,立男!$A$4:$I$100,8,0)+2000),IF(D22="","",VLOOKUP(登!$D$1,立女!$A$4:$I$100,8,0)+2000))</f>
        <v/>
      </c>
      <c r="B22" s="176" t="s">
        <v>262</v>
      </c>
      <c r="C22" s="187" t="str">
        <f>IF(C20="","",C20)</f>
        <v/>
      </c>
      <c r="D22" s="178" t="str">
        <f>IF(D20="","",D20)</f>
        <v/>
      </c>
      <c r="E22" s="187">
        <f>IF(E20="","",E20)</f>
        <v>8</v>
      </c>
      <c r="F22" s="188" t="str">
        <f>IF(F20="","",F20)</f>
        <v/>
      </c>
      <c r="G22" s="181" t="str">
        <f>IF(G20="","",G20)</f>
        <v/>
      </c>
      <c r="H22" s="182"/>
    </row>
    <row r="23" spans="1:8" ht="12.75" customHeight="1">
      <c r="B23" s="147" t="s">
        <v>15</v>
      </c>
    </row>
    <row r="58" spans="1:9" ht="12.75" customHeight="1">
      <c r="A58" s="410" t="s">
        <v>406</v>
      </c>
      <c r="B58" s="410"/>
      <c r="C58" s="410"/>
      <c r="D58" s="410"/>
      <c r="E58" s="407">
        <f>D7</f>
        <v>43748</v>
      </c>
      <c r="F58" s="408"/>
      <c r="G58" s="75"/>
      <c r="H58" s="75"/>
      <c r="I58" s="75"/>
    </row>
    <row r="59" spans="1:9" ht="12.75" customHeight="1">
      <c r="A59" s="344"/>
      <c r="B59" s="344"/>
      <c r="C59" s="344"/>
      <c r="D59" s="344"/>
      <c r="E59" s="189"/>
      <c r="F59" s="189"/>
      <c r="G59" s="75"/>
      <c r="H59" s="75"/>
      <c r="I59" s="75"/>
    </row>
    <row r="60" spans="1:9" ht="12.75" customHeight="1">
      <c r="A60" s="344"/>
      <c r="B60" s="344"/>
      <c r="C60" s="344"/>
      <c r="D60" s="344"/>
      <c r="E60" s="75"/>
      <c r="F60" s="75"/>
      <c r="G60" s="75"/>
      <c r="H60" s="75"/>
      <c r="I60" s="75"/>
    </row>
    <row r="61" spans="1:9" ht="12.75" customHeight="1">
      <c r="A61" s="189" t="s">
        <v>507</v>
      </c>
      <c r="B61" s="409" t="str">
        <f>IF(登!$D$1="",""," "&amp;VLOOKUP(登!$D$1,名!$G$2:$J$54,3,0))</f>
        <v/>
      </c>
      <c r="C61" s="409"/>
      <c r="D61" s="409"/>
      <c r="E61" s="189" t="s">
        <v>199</v>
      </c>
      <c r="F61" s="241" t="s">
        <v>529</v>
      </c>
      <c r="G61" s="352" t="s">
        <v>511</v>
      </c>
      <c r="H61" s="75"/>
      <c r="I61" s="75"/>
    </row>
    <row r="62" spans="1:9" ht="12.75" customHeight="1">
      <c r="A62" s="75"/>
      <c r="B62" s="75"/>
      <c r="C62" s="75"/>
      <c r="D62" s="75"/>
      <c r="E62" s="75"/>
      <c r="F62" s="75"/>
      <c r="G62" s="75"/>
      <c r="H62" s="74"/>
      <c r="I62" s="75"/>
    </row>
    <row r="63" spans="1:9" ht="12.75" customHeight="1">
      <c r="A63" s="75"/>
      <c r="B63" s="75"/>
      <c r="C63" s="75"/>
      <c r="D63" s="75"/>
      <c r="E63" s="75"/>
      <c r="F63" s="75"/>
      <c r="G63" s="75"/>
      <c r="H63" s="74"/>
      <c r="I63" s="75"/>
    </row>
    <row r="64" spans="1:9" ht="12.75" customHeight="1">
      <c r="A64" s="189" t="s">
        <v>510</v>
      </c>
      <c r="B64" s="409" t="str">
        <f>IF(登!$D$1="",""," "&amp;VLOOKUP(登!$D$1,名!$G$2:$J$54,4,0))</f>
        <v/>
      </c>
      <c r="C64" s="409"/>
      <c r="D64" s="409"/>
      <c r="E64" s="189" t="s">
        <v>509</v>
      </c>
      <c r="F64" s="241" t="s">
        <v>530</v>
      </c>
      <c r="G64" s="352" t="s">
        <v>511</v>
      </c>
      <c r="H64" s="74"/>
      <c r="I64" s="75"/>
    </row>
    <row r="66" spans="1:10" s="191" customFormat="1" ht="12.75" customHeight="1"/>
    <row r="67" spans="1:10" s="191" customFormat="1" ht="22.5" customHeight="1">
      <c r="B67" s="346">
        <f>B2</f>
        <v>2</v>
      </c>
      <c r="C67" s="398" t="str">
        <f>C2</f>
        <v>令和元年度県高校弓道新人大会（兼）全国選抜県予選会</v>
      </c>
      <c r="D67" s="399"/>
      <c r="E67" s="399"/>
      <c r="F67" s="399"/>
      <c r="G67" s="400"/>
    </row>
    <row r="68" spans="1:10" s="191" customFormat="1" ht="12.75" customHeight="1">
      <c r="B68" s="193"/>
      <c r="C68" s="193"/>
      <c r="D68" s="194"/>
      <c r="E68" s="194"/>
      <c r="F68" s="194"/>
      <c r="G68" s="195"/>
    </row>
    <row r="69" spans="1:10" s="191" customFormat="1" ht="12.75" customHeight="1">
      <c r="B69" s="401" t="str">
        <f>B4</f>
        <v>監督名</v>
      </c>
      <c r="C69" s="401"/>
      <c r="D69" s="402" t="str">
        <f>D4</f>
        <v>○　○　○　○</v>
      </c>
      <c r="E69" s="403"/>
      <c r="F69" s="404"/>
      <c r="G69" s="405" t="str">
        <f>G4</f>
        <v>弁当注文個数</v>
      </c>
      <c r="H69" s="406"/>
      <c r="I69" s="353">
        <f>I4</f>
        <v>0</v>
      </c>
      <c r="J69" s="192"/>
    </row>
    <row r="70" spans="1:10" s="191" customFormat="1" ht="12.75" customHeight="1">
      <c r="B70" s="193"/>
      <c r="C70" s="193"/>
      <c r="D70" s="194"/>
      <c r="E70" s="194"/>
      <c r="F70" s="194"/>
      <c r="G70" s="194"/>
    </row>
    <row r="71" spans="1:10" s="191" customFormat="1" ht="12.75" customHeight="1">
      <c r="B71" s="388" t="str">
        <f t="shared" ref="B71:B74" si="1">B6</f>
        <v>大会番号</v>
      </c>
      <c r="C71" s="388"/>
      <c r="D71" s="397">
        <f>D6</f>
        <v>13</v>
      </c>
      <c r="E71" s="397"/>
      <c r="F71" s="397"/>
      <c r="G71" s="397"/>
      <c r="I71" s="197"/>
    </row>
    <row r="72" spans="1:10" s="191" customFormat="1" ht="12.75" customHeight="1">
      <c r="B72" s="388" t="str">
        <f t="shared" si="1"/>
        <v>参加申込締切</v>
      </c>
      <c r="C72" s="388"/>
      <c r="D72" s="389">
        <f>D7</f>
        <v>43748</v>
      </c>
      <c r="E72" s="390"/>
      <c r="F72" s="391" t="str">
        <f>F7</f>
        <v>木曜日　１６時</v>
      </c>
      <c r="G72" s="392"/>
      <c r="I72" s="197"/>
    </row>
    <row r="73" spans="1:10" s="191" customFormat="1" ht="12.75" customHeight="1">
      <c r="B73" s="388" t="str">
        <f t="shared" si="1"/>
        <v>大会開催日</v>
      </c>
      <c r="C73" s="388"/>
      <c r="D73" s="389">
        <f>D8</f>
        <v>43757</v>
      </c>
      <c r="E73" s="390"/>
      <c r="F73" s="391" t="str">
        <f>F8</f>
        <v>土曜日</v>
      </c>
      <c r="G73" s="392"/>
      <c r="I73" s="197"/>
    </row>
    <row r="74" spans="1:10" s="191" customFormat="1" ht="12.75" customHeight="1">
      <c r="B74" s="388" t="str">
        <f t="shared" si="1"/>
        <v>申込先</v>
      </c>
      <c r="C74" s="388"/>
      <c r="D74" s="393" t="str">
        <f>D9</f>
        <v>高体連弓道専門部大会申込ｱﾄﾞﾚｽ</v>
      </c>
      <c r="E74" s="394"/>
      <c r="F74" s="448" t="str">
        <f>F9</f>
        <v>gunkyumi@yahoo.co.jp</v>
      </c>
      <c r="G74" s="449"/>
      <c r="I74" s="197"/>
    </row>
    <row r="75" spans="1:10" s="191" customFormat="1" ht="12.75" customHeight="1">
      <c r="B75" s="197"/>
      <c r="C75" s="197"/>
      <c r="D75" s="195"/>
      <c r="E75" s="195"/>
      <c r="F75" s="195"/>
      <c r="G75" s="195"/>
      <c r="I75" s="197"/>
    </row>
    <row r="76" spans="1:10" s="191" customFormat="1" ht="22.5" customHeight="1">
      <c r="B76" s="384" t="str">
        <f>B11</f>
        <v>女　子　団　体　参　加　申　込　書</v>
      </c>
      <c r="C76" s="384"/>
      <c r="D76" s="384"/>
      <c r="E76" s="384"/>
      <c r="F76" s="384"/>
      <c r="G76" s="384"/>
    </row>
    <row r="77" spans="1:10" s="191" customFormat="1" ht="12.75" customHeight="1">
      <c r="A77" s="346" t="str">
        <f>IF(A12="","",A12)</f>
        <v>立順</v>
      </c>
      <c r="B77" s="198" t="str">
        <f t="shared" ref="B77:H77" si="2">IF(B12="","",B12)</f>
        <v>チーム</v>
      </c>
      <c r="C77" s="199" t="str">
        <f t="shared" si="2"/>
        <v>校　名</v>
      </c>
      <c r="D77" s="200" t="str">
        <f t="shared" si="2"/>
        <v>登録番号</v>
      </c>
      <c r="E77" s="201" t="str">
        <f t="shared" si="2"/>
        <v>立　順</v>
      </c>
      <c r="F77" s="202" t="str">
        <f t="shared" si="2"/>
        <v>選　　手　　名</v>
      </c>
      <c r="G77" s="203" t="str">
        <f t="shared" si="2"/>
        <v>学　年</v>
      </c>
      <c r="H77" s="349" t="str">
        <f t="shared" si="2"/>
        <v>重複ﾁｪｯｸ</v>
      </c>
    </row>
    <row r="78" spans="1:10" s="191" customFormat="1" ht="12.75" customHeight="1">
      <c r="A78" s="204" t="str">
        <f t="shared" ref="A78:H87" si="3">IF(A13="","",A13)</f>
        <v/>
      </c>
      <c r="B78" s="205" t="str">
        <f t="shared" si="3"/>
        <v>Ａ</v>
      </c>
      <c r="C78" s="234" t="str">
        <f t="shared" si="3"/>
        <v/>
      </c>
      <c r="D78" s="139" t="str">
        <f t="shared" si="3"/>
        <v/>
      </c>
      <c r="E78" s="234">
        <f t="shared" si="3"/>
        <v>1</v>
      </c>
      <c r="F78" s="208" t="str">
        <f t="shared" si="3"/>
        <v/>
      </c>
      <c r="G78" s="209" t="str">
        <f t="shared" si="3"/>
        <v/>
      </c>
      <c r="H78" s="209" t="str">
        <f t="shared" si="3"/>
        <v/>
      </c>
    </row>
    <row r="79" spans="1:10" s="191" customFormat="1" ht="12.75" customHeight="1">
      <c r="A79" s="210" t="str">
        <f t="shared" si="3"/>
        <v/>
      </c>
      <c r="B79" s="211" t="str">
        <f t="shared" si="3"/>
        <v>Ａ</v>
      </c>
      <c r="C79" s="235" t="str">
        <f t="shared" si="3"/>
        <v/>
      </c>
      <c r="D79" s="140" t="str">
        <f t="shared" si="3"/>
        <v/>
      </c>
      <c r="E79" s="235">
        <f t="shared" si="3"/>
        <v>2</v>
      </c>
      <c r="F79" s="214" t="str">
        <f t="shared" si="3"/>
        <v/>
      </c>
      <c r="G79" s="215" t="str">
        <f t="shared" si="3"/>
        <v/>
      </c>
      <c r="H79" s="215" t="str">
        <f t="shared" si="3"/>
        <v/>
      </c>
    </row>
    <row r="80" spans="1:10" s="191" customFormat="1" ht="12.75" customHeight="1">
      <c r="A80" s="210" t="str">
        <f t="shared" si="3"/>
        <v/>
      </c>
      <c r="B80" s="211" t="str">
        <f t="shared" si="3"/>
        <v>Ａ</v>
      </c>
      <c r="C80" s="235" t="str">
        <f t="shared" si="3"/>
        <v/>
      </c>
      <c r="D80" s="140" t="str">
        <f t="shared" si="3"/>
        <v/>
      </c>
      <c r="E80" s="235">
        <f t="shared" si="3"/>
        <v>3</v>
      </c>
      <c r="F80" s="214" t="str">
        <f t="shared" si="3"/>
        <v/>
      </c>
      <c r="G80" s="215" t="str">
        <f t="shared" si="3"/>
        <v/>
      </c>
      <c r="H80" s="215" t="str">
        <f t="shared" si="3"/>
        <v/>
      </c>
    </row>
    <row r="81" spans="1:8" s="191" customFormat="1" ht="12.75" customHeight="1">
      <c r="A81" s="210" t="str">
        <f t="shared" si="3"/>
        <v/>
      </c>
      <c r="B81" s="211" t="str">
        <f t="shared" si="3"/>
        <v>Ａ</v>
      </c>
      <c r="C81" s="235" t="str">
        <f t="shared" si="3"/>
        <v/>
      </c>
      <c r="D81" s="140" t="str">
        <f t="shared" si="3"/>
        <v/>
      </c>
      <c r="E81" s="235">
        <f t="shared" si="3"/>
        <v>4</v>
      </c>
      <c r="F81" s="214" t="str">
        <f t="shared" si="3"/>
        <v/>
      </c>
      <c r="G81" s="215" t="str">
        <f t="shared" si="3"/>
        <v/>
      </c>
      <c r="H81" s="215" t="str">
        <f t="shared" si="3"/>
        <v/>
      </c>
    </row>
    <row r="82" spans="1:8" s="191" customFormat="1" ht="12.75" customHeight="1">
      <c r="A82" s="204" t="str">
        <f t="shared" si="3"/>
        <v/>
      </c>
      <c r="B82" s="205" t="str">
        <f t="shared" si="3"/>
        <v>Ｂ</v>
      </c>
      <c r="C82" s="234" t="str">
        <f t="shared" si="3"/>
        <v/>
      </c>
      <c r="D82" s="139" t="str">
        <f t="shared" si="3"/>
        <v/>
      </c>
      <c r="E82" s="234">
        <f t="shared" si="3"/>
        <v>5</v>
      </c>
      <c r="F82" s="208" t="str">
        <f t="shared" si="3"/>
        <v/>
      </c>
      <c r="G82" s="209" t="str">
        <f t="shared" si="3"/>
        <v/>
      </c>
      <c r="H82" s="209" t="str">
        <f t="shared" si="3"/>
        <v/>
      </c>
    </row>
    <row r="83" spans="1:8" s="191" customFormat="1" ht="12.75" customHeight="1">
      <c r="A83" s="210" t="str">
        <f t="shared" si="3"/>
        <v/>
      </c>
      <c r="B83" s="211" t="str">
        <f t="shared" si="3"/>
        <v>Ｂ</v>
      </c>
      <c r="C83" s="235" t="str">
        <f t="shared" si="3"/>
        <v/>
      </c>
      <c r="D83" s="140" t="str">
        <f t="shared" si="3"/>
        <v/>
      </c>
      <c r="E83" s="235">
        <f t="shared" si="3"/>
        <v>6</v>
      </c>
      <c r="F83" s="214" t="str">
        <f t="shared" si="3"/>
        <v/>
      </c>
      <c r="G83" s="215" t="str">
        <f t="shared" si="3"/>
        <v/>
      </c>
      <c r="H83" s="215" t="str">
        <f t="shared" si="3"/>
        <v/>
      </c>
    </row>
    <row r="84" spans="1:8" s="191" customFormat="1" ht="12.75" customHeight="1">
      <c r="A84" s="210" t="str">
        <f t="shared" si="3"/>
        <v/>
      </c>
      <c r="B84" s="211" t="str">
        <f t="shared" si="3"/>
        <v>Ｂ</v>
      </c>
      <c r="C84" s="235" t="str">
        <f t="shared" si="3"/>
        <v/>
      </c>
      <c r="D84" s="140" t="str">
        <f t="shared" si="3"/>
        <v/>
      </c>
      <c r="E84" s="235">
        <f t="shared" si="3"/>
        <v>7</v>
      </c>
      <c r="F84" s="214" t="str">
        <f t="shared" si="3"/>
        <v/>
      </c>
      <c r="G84" s="215" t="str">
        <f t="shared" si="3"/>
        <v/>
      </c>
      <c r="H84" s="215" t="str">
        <f t="shared" si="3"/>
        <v/>
      </c>
    </row>
    <row r="85" spans="1:8" s="191" customFormat="1" ht="12.75" customHeight="1">
      <c r="A85" s="225" t="str">
        <f t="shared" si="3"/>
        <v/>
      </c>
      <c r="B85" s="226" t="str">
        <f t="shared" si="3"/>
        <v>Ｂ</v>
      </c>
      <c r="C85" s="236" t="str">
        <f t="shared" si="3"/>
        <v/>
      </c>
      <c r="D85" s="141" t="str">
        <f t="shared" si="3"/>
        <v/>
      </c>
      <c r="E85" s="236">
        <f t="shared" si="3"/>
        <v>8</v>
      </c>
      <c r="F85" s="237" t="str">
        <f t="shared" si="3"/>
        <v/>
      </c>
      <c r="G85" s="230" t="str">
        <f t="shared" si="3"/>
        <v/>
      </c>
      <c r="H85" s="230" t="str">
        <f t="shared" si="3"/>
        <v/>
      </c>
    </row>
    <row r="86" spans="1:8" s="191" customFormat="1" ht="12.75" customHeight="1">
      <c r="A86" s="204" t="str">
        <f t="shared" si="3"/>
        <v/>
      </c>
      <c r="B86" s="205" t="str">
        <f t="shared" si="3"/>
        <v>Ａ</v>
      </c>
      <c r="C86" s="234" t="str">
        <f t="shared" si="3"/>
        <v/>
      </c>
      <c r="D86" s="139" t="str">
        <f t="shared" si="3"/>
        <v/>
      </c>
      <c r="E86" s="234">
        <f t="shared" si="3"/>
        <v>4</v>
      </c>
      <c r="F86" s="208" t="str">
        <f t="shared" si="3"/>
        <v/>
      </c>
      <c r="G86" s="209" t="str">
        <f t="shared" si="3"/>
        <v/>
      </c>
      <c r="H86" s="224" t="str">
        <f t="shared" si="3"/>
        <v/>
      </c>
    </row>
    <row r="87" spans="1:8" s="191" customFormat="1" ht="12.75" customHeight="1">
      <c r="A87" s="225" t="str">
        <f t="shared" si="3"/>
        <v/>
      </c>
      <c r="B87" s="226" t="str">
        <f t="shared" si="3"/>
        <v>Ｂ</v>
      </c>
      <c r="C87" s="236" t="str">
        <f t="shared" si="3"/>
        <v/>
      </c>
      <c r="D87" s="141" t="str">
        <f t="shared" si="3"/>
        <v/>
      </c>
      <c r="E87" s="236">
        <f t="shared" si="3"/>
        <v>8</v>
      </c>
      <c r="F87" s="237" t="str">
        <f t="shared" si="3"/>
        <v/>
      </c>
      <c r="G87" s="230" t="str">
        <f t="shared" si="3"/>
        <v/>
      </c>
      <c r="H87" s="231" t="str">
        <f t="shared" si="3"/>
        <v/>
      </c>
    </row>
    <row r="88" spans="1:8" s="191" customFormat="1" ht="12.75" customHeight="1">
      <c r="B88" s="197" t="str">
        <f>B23</f>
        <v>（４はＡチーム補欠、８はＢチーム補欠です）</v>
      </c>
    </row>
    <row r="89" spans="1:8" s="191" customFormat="1" ht="12.75" customHeight="1"/>
    <row r="90" spans="1:8" s="191" customFormat="1" ht="12.75" customHeight="1"/>
    <row r="91" spans="1:8" s="191" customFormat="1" ht="12.75" customHeight="1"/>
    <row r="92" spans="1:8" s="191" customFormat="1" ht="12.75" customHeight="1"/>
    <row r="93" spans="1:8" s="191" customFormat="1" ht="12.75" customHeight="1"/>
    <row r="94" spans="1:8" s="191" customFormat="1" ht="12.75" customHeight="1"/>
    <row r="95" spans="1:8" s="191" customFormat="1" ht="12.75" customHeight="1"/>
    <row r="96" spans="1:8" s="191" customFormat="1" ht="12.75" customHeight="1"/>
    <row r="97" s="191" customFormat="1" ht="12.75" customHeight="1"/>
    <row r="98" s="191" customFormat="1" ht="12.75" customHeight="1"/>
    <row r="99" s="191" customFormat="1" ht="12.75" customHeight="1"/>
    <row r="100" s="191" customFormat="1" ht="12.75" customHeight="1"/>
    <row r="101" s="191" customFormat="1" ht="12.75" customHeight="1"/>
    <row r="102" s="191" customFormat="1" ht="12.75" customHeight="1"/>
    <row r="103" s="191" customFormat="1" ht="12.75" customHeight="1"/>
    <row r="104" s="191" customFormat="1" ht="12.75" customHeight="1"/>
    <row r="105" s="191" customFormat="1" ht="12.75" customHeight="1"/>
    <row r="106" s="191" customFormat="1" ht="12.75" customHeight="1"/>
    <row r="107" s="191" customFormat="1" ht="12.75" customHeight="1"/>
    <row r="108" s="191" customFormat="1" ht="12.75" customHeight="1"/>
    <row r="109" s="191" customFormat="1" ht="12.75" customHeight="1"/>
    <row r="110" s="191" customFormat="1" ht="12.75" customHeight="1"/>
    <row r="111" s="191" customFormat="1" ht="12.75" customHeight="1"/>
    <row r="112" s="191" customFormat="1" ht="12.75" customHeight="1"/>
    <row r="113" spans="1:9" s="191" customFormat="1" ht="12.75" customHeight="1"/>
    <row r="114" spans="1:9" s="191" customFormat="1" ht="12.75" customHeight="1"/>
    <row r="115" spans="1:9" s="191" customFormat="1" ht="12.75" customHeight="1"/>
    <row r="116" spans="1:9" s="191" customFormat="1" ht="12.75" customHeight="1"/>
    <row r="117" spans="1:9" s="191" customFormat="1" ht="12.75" customHeight="1"/>
    <row r="118" spans="1:9" s="191" customFormat="1" ht="12.75" customHeight="1"/>
    <row r="119" spans="1:9" s="191" customFormat="1" ht="12.75" customHeight="1"/>
    <row r="120" spans="1:9" s="191" customFormat="1" ht="12.75" customHeight="1"/>
    <row r="121" spans="1:9" s="191" customFormat="1" ht="12.75" customHeight="1"/>
    <row r="122" spans="1:9" s="191" customFormat="1" ht="12.75" customHeight="1"/>
    <row r="123" spans="1:9" s="191" customFormat="1" ht="12.75" customHeight="1">
      <c r="A123" s="385" t="s">
        <v>406</v>
      </c>
      <c r="B123" s="385"/>
      <c r="C123" s="385"/>
      <c r="D123" s="385"/>
      <c r="E123" s="386">
        <f>E58</f>
        <v>43748</v>
      </c>
      <c r="F123" s="387"/>
      <c r="G123" s="238"/>
      <c r="H123" s="238"/>
      <c r="I123" s="238"/>
    </row>
    <row r="124" spans="1:9" s="191" customFormat="1" ht="12.75" customHeight="1">
      <c r="A124" s="348"/>
      <c r="B124" s="348"/>
      <c r="C124" s="348"/>
      <c r="D124" s="348"/>
      <c r="E124" s="239"/>
      <c r="F124" s="239"/>
      <c r="G124" s="238"/>
      <c r="H124" s="238"/>
      <c r="I124" s="238"/>
    </row>
    <row r="125" spans="1:9" s="191" customFormat="1" ht="12.75" customHeight="1">
      <c r="A125" s="348"/>
      <c r="B125" s="348"/>
      <c r="C125" s="348"/>
      <c r="D125" s="348"/>
      <c r="E125" s="238"/>
      <c r="F125" s="238"/>
      <c r="G125" s="238"/>
      <c r="H125" s="238"/>
      <c r="I125" s="238"/>
    </row>
    <row r="126" spans="1:9" s="191" customFormat="1" ht="12.75" customHeight="1">
      <c r="A126" s="239" t="s">
        <v>507</v>
      </c>
      <c r="B126" s="383" t="str">
        <f>B61</f>
        <v/>
      </c>
      <c r="C126" s="383"/>
      <c r="D126" s="383"/>
      <c r="E126" s="239" t="s">
        <v>199</v>
      </c>
      <c r="F126" s="249" t="str">
        <f>F61</f>
        <v xml:space="preserve">○　○　○　○　 </v>
      </c>
      <c r="G126" s="347" t="s">
        <v>511</v>
      </c>
      <c r="H126" s="238"/>
      <c r="I126" s="238"/>
    </row>
    <row r="127" spans="1:9" s="191" customFormat="1" ht="12.75" customHeight="1">
      <c r="A127" s="238"/>
      <c r="B127" s="238"/>
      <c r="C127" s="238"/>
      <c r="D127" s="238"/>
      <c r="E127" s="238"/>
      <c r="F127" s="238"/>
      <c r="G127" s="238"/>
      <c r="H127" s="240"/>
      <c r="I127" s="238"/>
    </row>
    <row r="128" spans="1:9" s="191" customFormat="1" ht="12.75" customHeight="1">
      <c r="A128" s="238"/>
      <c r="B128" s="238"/>
      <c r="C128" s="238"/>
      <c r="D128" s="238"/>
      <c r="E128" s="238"/>
      <c r="F128" s="238"/>
      <c r="G128" s="238"/>
      <c r="H128" s="240"/>
      <c r="I128" s="238"/>
    </row>
    <row r="129" spans="1:9" s="191" customFormat="1" ht="12.75" customHeight="1">
      <c r="A129" s="239" t="s">
        <v>510</v>
      </c>
      <c r="B129" s="383" t="str">
        <f>B64</f>
        <v/>
      </c>
      <c r="C129" s="383"/>
      <c r="D129" s="383"/>
      <c r="E129" s="239" t="s">
        <v>509</v>
      </c>
      <c r="F129" s="249" t="str">
        <f>F64</f>
        <v xml:space="preserve">○　○　○　○　 </v>
      </c>
      <c r="G129" s="347" t="s">
        <v>511</v>
      </c>
      <c r="H129" s="240"/>
      <c r="I129" s="238"/>
    </row>
    <row r="130" spans="1:9" s="191" customFormat="1" ht="12.75" customHeight="1"/>
  </sheetData>
  <sheetProtection password="CC71" sheet="1" objects="1" scenarios="1"/>
  <mergeCells count="43">
    <mergeCell ref="B126:D126"/>
    <mergeCell ref="B129:D129"/>
    <mergeCell ref="A2:A4"/>
    <mergeCell ref="B74:C74"/>
    <mergeCell ref="D74:E74"/>
    <mergeCell ref="B61:D61"/>
    <mergeCell ref="B64:D64"/>
    <mergeCell ref="C67:G67"/>
    <mergeCell ref="B69:C69"/>
    <mergeCell ref="D69:F69"/>
    <mergeCell ref="G69:H69"/>
    <mergeCell ref="B9:C9"/>
    <mergeCell ref="D9:E9"/>
    <mergeCell ref="F9:G9"/>
    <mergeCell ref="B11:G11"/>
    <mergeCell ref="A58:D58"/>
    <mergeCell ref="F74:G74"/>
    <mergeCell ref="B76:G76"/>
    <mergeCell ref="A123:D123"/>
    <mergeCell ref="E123:F123"/>
    <mergeCell ref="B71:C71"/>
    <mergeCell ref="D71:G71"/>
    <mergeCell ref="B72:C72"/>
    <mergeCell ref="D72:E72"/>
    <mergeCell ref="F72:G72"/>
    <mergeCell ref="B73:C73"/>
    <mergeCell ref="D73:E73"/>
    <mergeCell ref="F73:G73"/>
    <mergeCell ref="E58:F58"/>
    <mergeCell ref="B6:C6"/>
    <mergeCell ref="D6:G6"/>
    <mergeCell ref="B7:C7"/>
    <mergeCell ref="D7:E7"/>
    <mergeCell ref="F7:G7"/>
    <mergeCell ref="B8:C8"/>
    <mergeCell ref="D8:E8"/>
    <mergeCell ref="F8:G8"/>
    <mergeCell ref="C2:G2"/>
    <mergeCell ref="K2:K3"/>
    <mergeCell ref="L2:L3"/>
    <mergeCell ref="B4:C4"/>
    <mergeCell ref="D4:F4"/>
    <mergeCell ref="G4:H4"/>
  </mergeCells>
  <phoneticPr fontId="2"/>
  <dataValidations count="1">
    <dataValidation type="list" allowBlank="1" showInputMessage="1" showErrorMessage="1" errorTitle="個数エラー" error="0～2を入力" sqref="I4">
      <formula1>"0,1,2"</formula1>
    </dataValidation>
  </dataValidations>
  <hyperlinks>
    <hyperlink ref="F9:G9" r:id="rId1" display="gunkyumi@yahoo.co.jp"/>
    <hyperlink ref="F74:G74" r:id="rId2" display="gunkyumi@yahoo.co.jp"/>
  </hyperlinks>
  <printOptions horizontalCentered="1"/>
  <pageMargins left="0.39370078740157483" right="0.39370078740157483" top="0.39370078740157483" bottom="0.39370078740157483" header="0" footer="0"/>
  <pageSetup paperSize="9" orientation="portrait" horizontalDpi="300" r:id="rId3"/>
  <headerFooter alignWithMargins="0"/>
  <drawing r:id="rId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1"/>
  </sheetPr>
  <dimension ref="A2:L130"/>
  <sheetViews>
    <sheetView zoomScaleNormal="100" workbookViewId="0"/>
  </sheetViews>
  <sheetFormatPr defaultColWidth="9" defaultRowHeight="12.75" customHeight="1"/>
  <cols>
    <col min="1" max="3" width="8.125" style="143" customWidth="1"/>
    <col min="4" max="4" width="15" style="143" customWidth="1"/>
    <col min="5" max="5" width="8.125" style="143" customWidth="1"/>
    <col min="6" max="6" width="24.25" style="143" customWidth="1"/>
    <col min="7" max="8" width="8.125" style="143" customWidth="1"/>
    <col min="9" max="9" width="4.25" style="143" customWidth="1"/>
    <col min="10" max="10" width="6.125" style="143" customWidth="1"/>
    <col min="11" max="16384" width="9" style="143"/>
  </cols>
  <sheetData>
    <row r="2" spans="1:12" ht="22.5" customHeight="1">
      <c r="A2" s="382" t="s">
        <v>518</v>
      </c>
      <c r="B2" s="340">
        <v>1</v>
      </c>
      <c r="C2" s="424" t="str">
        <f>日!B1&amp;"東日本高等学校弓道大会県予選会"</f>
        <v>令和元年度東日本高等学校弓道大会県予選会</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531</v>
      </c>
    </row>
    <row r="5" spans="1:12" ht="12.75" customHeight="1">
      <c r="B5" s="144"/>
      <c r="C5" s="144"/>
      <c r="D5" s="145"/>
      <c r="E5" s="145"/>
      <c r="F5" s="145"/>
      <c r="G5" s="145"/>
      <c r="K5" s="341" t="str">
        <f>SUBSTITUTE(SUBSTITUTE(K4," ",""),"　","")</f>
        <v>○○</v>
      </c>
      <c r="L5" s="341" t="str">
        <f>SUBSTITUTE(SUBSTITUTE(L4," ",""),"　","")</f>
        <v>○○</v>
      </c>
    </row>
    <row r="6" spans="1:12" ht="12.75" customHeight="1">
      <c r="B6" s="411" t="s">
        <v>39</v>
      </c>
      <c r="C6" s="411"/>
      <c r="D6" s="427">
        <v>14</v>
      </c>
      <c r="E6" s="427"/>
      <c r="F6" s="427"/>
      <c r="G6" s="427"/>
      <c r="I6" s="147"/>
    </row>
    <row r="7" spans="1:12" ht="12.75" customHeight="1">
      <c r="B7" s="411" t="s">
        <v>40</v>
      </c>
      <c r="C7" s="411"/>
      <c r="D7" s="422">
        <f>VLOOKUP(D6,日!$B$2:$F$111,3,0)</f>
        <v>43776</v>
      </c>
      <c r="E7" s="423"/>
      <c r="F7" s="416" t="str">
        <f>TEXT(WEEKDAY(D7,1),"aaaa")&amp;"　１６時"</f>
        <v>木曜日　１６時</v>
      </c>
      <c r="G7" s="417"/>
      <c r="I7" s="147"/>
    </row>
    <row r="8" spans="1:12" ht="12.75" customHeight="1">
      <c r="B8" s="411" t="s">
        <v>38</v>
      </c>
      <c r="C8" s="411"/>
      <c r="D8" s="418">
        <f>VLOOKUP(D6,日!$B$2:$F$111,5,0)</f>
        <v>43785</v>
      </c>
      <c r="E8" s="419"/>
      <c r="F8" s="420" t="str">
        <f>TEXT(WEEKDAY(D8,1),"aaaa")</f>
        <v>土曜日</v>
      </c>
      <c r="G8" s="421"/>
      <c r="I8" s="147"/>
    </row>
    <row r="9" spans="1:12" ht="12.75" customHeight="1">
      <c r="B9" s="411" t="s">
        <v>41</v>
      </c>
      <c r="C9" s="411"/>
      <c r="D9" s="412" t="s">
        <v>45</v>
      </c>
      <c r="E9" s="413"/>
      <c r="F9" s="395" t="s">
        <v>46</v>
      </c>
      <c r="G9" s="396"/>
      <c r="I9" s="147"/>
    </row>
    <row r="10" spans="1:12" ht="12.75" customHeight="1">
      <c r="B10" s="147"/>
      <c r="C10" s="147"/>
      <c r="D10" s="146"/>
      <c r="E10" s="146"/>
      <c r="F10" s="146"/>
      <c r="G10" s="146"/>
      <c r="I10" s="147"/>
    </row>
    <row r="11" spans="1:12" ht="22.5" customHeight="1">
      <c r="B11" s="414" t="str">
        <f>IF(B2=1,"男　子　団　体　参　加　申　込　書","女　子　団　体　参　加　申　込　書")</f>
        <v>男　子　団　体　参　加　申　込　書</v>
      </c>
      <c r="C11" s="414"/>
      <c r="D11" s="414"/>
      <c r="E11" s="414"/>
      <c r="F11" s="414"/>
      <c r="G11" s="414"/>
    </row>
    <row r="12" spans="1:12" ht="12.75" customHeight="1">
      <c r="A12" s="340" t="s">
        <v>32</v>
      </c>
      <c r="B12" s="148" t="s">
        <v>22</v>
      </c>
      <c r="C12" s="149" t="s">
        <v>10</v>
      </c>
      <c r="D12" s="150" t="s">
        <v>33</v>
      </c>
      <c r="E12" s="151" t="s">
        <v>12</v>
      </c>
      <c r="F12" s="152" t="s">
        <v>13</v>
      </c>
      <c r="G12" s="153" t="s">
        <v>14</v>
      </c>
      <c r="H12" s="341" t="s">
        <v>47</v>
      </c>
    </row>
    <row r="13" spans="1:12" ht="12.75" customHeight="1">
      <c r="A13" s="154" t="str">
        <f>IF($B$2=1,IF($D$13="","",IF(COUNT($D$13:$D$16)=1,VLOOKUP(登!$D$1,立男!$A$4:$I$100,9,0)+100,VLOOKUP(登!$D$1,立男!$A$4:$I$100,9,0))),IF($D$13="","",IF(COUNT($D$13:$D$16)=1,VLOOKUP(登!$D$1,立女!$A$4:$I$100,9,0)+100,VLOOKUP(登!$D$1,立女!$A$4:$I$100,9,0))))</f>
        <v/>
      </c>
      <c r="B13" s="155" t="s">
        <v>16</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IF(D13="","",IF(COUNTIF($D$13:$D$16,D13)&gt;1,"選手重複!!","OK"))</f>
        <v/>
      </c>
    </row>
    <row r="14" spans="1:12" ht="12.75" customHeight="1">
      <c r="A14" s="160" t="str">
        <f>IF($B$2=1,IF($D$13="","",IF(COUNT($D$13:$D$16)=1,VLOOKUP(登!$D$1,立男!$A$4:$I$100,9,0)+100,VLOOKUP(登!$D$1,立男!$A$4:$I$100,9,0))),IF($D$13="","",IF(COUNT($D$13:$D$16)=1,VLOOKUP(登!$D$1,立女!$A$4:$I$100,9,0)+100,VLOOKUP(登!$D$1,立女!$A$4:$I$100,9,0))))</f>
        <v/>
      </c>
      <c r="B14" s="161" t="s">
        <v>16</v>
      </c>
      <c r="C14" s="186" t="str">
        <f>IF(D14="","",登!$F$1)</f>
        <v/>
      </c>
      <c r="D14" s="64"/>
      <c r="E14" s="186">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IF(D14="","",IF(COUNTIF($D$13:$D$16,D14)&gt;1,"選手重複!!","OK"))</f>
        <v/>
      </c>
    </row>
    <row r="15" spans="1:12" ht="12.75" customHeight="1">
      <c r="A15" s="160" t="str">
        <f>IF($B$2=1,IF($D$13="","",IF(COUNT($D$13:$D$16)=1,VLOOKUP(登!$D$1,立男!$A$4:$I$100,9,0)+100,VLOOKUP(登!$D$1,立男!$A$4:$I$100,9,0))),IF($D$13="","",IF(COUNT($D$13:$D$16)=1,VLOOKUP(登!$D$1,立女!$A$4:$I$100,9,0)+100,VLOOKUP(登!$D$1,立女!$A$4:$I$100,9,0))))</f>
        <v/>
      </c>
      <c r="B15" s="161" t="s">
        <v>16</v>
      </c>
      <c r="C15" s="186" t="str">
        <f>IF(D15="","",登!$F$1)</f>
        <v/>
      </c>
      <c r="D15" s="64"/>
      <c r="E15" s="186">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5" t="str">
        <f>IF(D15="","",IF(COUNTIF($D$13:$D$16,D15)&gt;1,"選手重複!!","OK"))</f>
        <v/>
      </c>
    </row>
    <row r="16" spans="1:12" ht="12.75" customHeight="1">
      <c r="A16" s="175" t="str">
        <f>IF($B$2=1,IF($D$13="","",IF(COUNT($D$13:$D$16)=1,VLOOKUP(登!$D$1,立男!$A$4:$I$100,9,0)+100,VLOOKUP(登!$D$1,立男!$A$4:$I$100,9,0))),IF($D$13="","",IF(COUNT($D$13:$D$16)=1,VLOOKUP(登!$D$1,立女!$A$4:$I$100,9,0)+100,VLOOKUP(登!$D$1,立女!$A$4:$I$100,9,0))))</f>
        <v/>
      </c>
      <c r="B16" s="176" t="s">
        <v>34</v>
      </c>
      <c r="C16" s="187" t="str">
        <f>IF(D16="","",登!$F$1)</f>
        <v/>
      </c>
      <c r="D16" s="66"/>
      <c r="E16" s="187">
        <v>4</v>
      </c>
      <c r="F16" s="188" t="str">
        <f>IF(D16="","",IF(COUNTIF($D$13:D16,"")&gt;0,"大前から詰めて入力",IF(INT(VALUE(RIGHT(D16,3))/100)=$B$2,VLOOKUP(D16,登!$B$4:$I$103,7,0),"部員番号入力ミス")))</f>
        <v/>
      </c>
      <c r="G16" s="181" t="str">
        <f>IF(D16="","",IF(INT(VALUE(RIGHT(D16,3))/100)=$B$2,IF(VLOOKUP(D16,登!$B$4:$I$103,2,0)=登!$B$1,1,IF(VLOOKUP(D16,登!$B$4:$I$103,2,0)=登!$B$1-1,2,IF(VLOOKUP(D16,登!$B$4:$I$103,2,0)=登!$B$1-2,3,"学年ミス"))),"番号ミス"))</f>
        <v/>
      </c>
      <c r="H16" s="181" t="str">
        <f>IF(D16="","",IF(COUNTIF($D$13:$D$16,D16)&gt;1,"選手重複!!","OK"))</f>
        <v/>
      </c>
    </row>
    <row r="17" spans="2:2" ht="12.75" customHeight="1">
      <c r="B17" s="147" t="s">
        <v>535</v>
      </c>
    </row>
    <row r="58" spans="1:9" ht="12.75" customHeight="1">
      <c r="A58" s="410" t="s">
        <v>406</v>
      </c>
      <c r="B58" s="410"/>
      <c r="C58" s="410"/>
      <c r="D58" s="410"/>
      <c r="E58" s="407">
        <f>D7</f>
        <v>43776</v>
      </c>
      <c r="F58" s="408"/>
      <c r="G58" s="75"/>
      <c r="H58" s="75"/>
      <c r="I58" s="75"/>
    </row>
    <row r="59" spans="1:9" ht="12.75" customHeight="1">
      <c r="A59" s="344"/>
      <c r="B59" s="344"/>
      <c r="C59" s="344"/>
      <c r="D59" s="344"/>
      <c r="E59" s="189"/>
      <c r="F59" s="189"/>
      <c r="G59" s="75"/>
      <c r="H59" s="75"/>
      <c r="I59" s="75"/>
    </row>
    <row r="60" spans="1:9" ht="12.75" customHeight="1">
      <c r="A60" s="344"/>
      <c r="B60" s="344"/>
      <c r="C60" s="344"/>
      <c r="D60" s="344"/>
      <c r="E60" s="75"/>
      <c r="F60" s="75"/>
      <c r="G60" s="75"/>
      <c r="H60" s="75"/>
      <c r="I60" s="75"/>
    </row>
    <row r="61" spans="1:9" ht="12.75" customHeight="1">
      <c r="A61" s="189" t="s">
        <v>507</v>
      </c>
      <c r="B61" s="409" t="str">
        <f>IF(登!$D$1="",""," "&amp;VLOOKUP(登!$D$1,名!$G$2:$J$54,3,0))</f>
        <v/>
      </c>
      <c r="C61" s="409"/>
      <c r="D61" s="409"/>
      <c r="E61" s="189" t="s">
        <v>199</v>
      </c>
      <c r="F61" s="241" t="s">
        <v>529</v>
      </c>
      <c r="G61" s="352" t="s">
        <v>511</v>
      </c>
      <c r="H61" s="75"/>
      <c r="I61" s="75"/>
    </row>
    <row r="62" spans="1:9" ht="12.75" customHeight="1">
      <c r="A62" s="75"/>
      <c r="B62" s="75"/>
      <c r="C62" s="75"/>
      <c r="D62" s="75"/>
      <c r="E62" s="75"/>
      <c r="F62" s="75"/>
      <c r="G62" s="75"/>
      <c r="H62" s="74"/>
      <c r="I62" s="75"/>
    </row>
    <row r="63" spans="1:9" ht="12.75" customHeight="1">
      <c r="A63" s="75"/>
      <c r="B63" s="75"/>
      <c r="C63" s="75"/>
      <c r="D63" s="75"/>
      <c r="E63" s="75"/>
      <c r="F63" s="75"/>
      <c r="G63" s="75"/>
      <c r="H63" s="74"/>
      <c r="I63" s="75"/>
    </row>
    <row r="64" spans="1:9" ht="12.75" customHeight="1">
      <c r="A64" s="189" t="s">
        <v>510</v>
      </c>
      <c r="B64" s="409" t="str">
        <f>IF(登!$D$1="",""," "&amp;VLOOKUP(登!$D$1,名!$G$2:$J$54,4,0))</f>
        <v/>
      </c>
      <c r="C64" s="409"/>
      <c r="D64" s="409"/>
      <c r="E64" s="189" t="s">
        <v>509</v>
      </c>
      <c r="F64" s="241" t="s">
        <v>530</v>
      </c>
      <c r="G64" s="352" t="s">
        <v>511</v>
      </c>
      <c r="H64" s="74"/>
      <c r="I64" s="75"/>
    </row>
    <row r="66" spans="1:10" s="191" customFormat="1" ht="12.75" customHeight="1"/>
    <row r="67" spans="1:10" s="191" customFormat="1" ht="22.5" customHeight="1">
      <c r="B67" s="346">
        <f>B2</f>
        <v>1</v>
      </c>
      <c r="C67" s="398" t="str">
        <f>C2</f>
        <v>令和元年度東日本高等学校弓道大会県予選会</v>
      </c>
      <c r="D67" s="399"/>
      <c r="E67" s="399"/>
      <c r="F67" s="399"/>
      <c r="G67" s="400"/>
    </row>
    <row r="68" spans="1:10" s="191" customFormat="1" ht="12.75" customHeight="1">
      <c r="B68" s="193"/>
      <c r="C68" s="193"/>
      <c r="D68" s="194"/>
      <c r="E68" s="194"/>
      <c r="F68" s="194"/>
      <c r="G68" s="195"/>
    </row>
    <row r="69" spans="1:10" s="191" customFormat="1" ht="12.75" customHeight="1">
      <c r="B69" s="401" t="str">
        <f>B4</f>
        <v>監督名</v>
      </c>
      <c r="C69" s="401"/>
      <c r="D69" s="402" t="str">
        <f>D4</f>
        <v>○　○　○　○</v>
      </c>
      <c r="E69" s="403"/>
      <c r="F69" s="404"/>
      <c r="G69" s="405" t="s">
        <v>205</v>
      </c>
      <c r="H69" s="406"/>
      <c r="I69" s="353">
        <f>I4</f>
        <v>0</v>
      </c>
      <c r="J69" s="192"/>
    </row>
    <row r="70" spans="1:10" s="191" customFormat="1" ht="12.75" customHeight="1">
      <c r="B70" s="193"/>
      <c r="C70" s="193"/>
      <c r="D70" s="194"/>
      <c r="E70" s="194"/>
      <c r="F70" s="194"/>
      <c r="G70" s="194"/>
    </row>
    <row r="71" spans="1:10" s="191" customFormat="1" ht="12.75" customHeight="1">
      <c r="B71" s="388" t="str">
        <f>B6</f>
        <v>大会番号</v>
      </c>
      <c r="C71" s="388"/>
      <c r="D71" s="397">
        <f>D6</f>
        <v>14</v>
      </c>
      <c r="E71" s="397"/>
      <c r="F71" s="397"/>
      <c r="G71" s="397"/>
      <c r="I71" s="197"/>
    </row>
    <row r="72" spans="1:10" s="191" customFormat="1" ht="12.75" customHeight="1">
      <c r="B72" s="388" t="str">
        <f t="shared" ref="B72:B74" si="0">B7</f>
        <v>参加申込締切</v>
      </c>
      <c r="C72" s="388"/>
      <c r="D72" s="389">
        <f>D7</f>
        <v>43776</v>
      </c>
      <c r="E72" s="390"/>
      <c r="F72" s="391" t="str">
        <f>F7</f>
        <v>木曜日　１６時</v>
      </c>
      <c r="G72" s="392"/>
      <c r="I72" s="197"/>
    </row>
    <row r="73" spans="1:10" s="191" customFormat="1" ht="12.75" customHeight="1">
      <c r="B73" s="388" t="str">
        <f t="shared" si="0"/>
        <v>大会開催日</v>
      </c>
      <c r="C73" s="388"/>
      <c r="D73" s="389">
        <f t="shared" ref="D73:D74" si="1">D8</f>
        <v>43785</v>
      </c>
      <c r="E73" s="390"/>
      <c r="F73" s="391" t="str">
        <f t="shared" ref="F73:F74" si="2">F8</f>
        <v>土曜日</v>
      </c>
      <c r="G73" s="392"/>
      <c r="I73" s="197"/>
    </row>
    <row r="74" spans="1:10" s="191" customFormat="1" ht="12.75" customHeight="1">
      <c r="B74" s="388" t="str">
        <f t="shared" si="0"/>
        <v>申込先</v>
      </c>
      <c r="C74" s="388"/>
      <c r="D74" s="389" t="str">
        <f t="shared" si="1"/>
        <v>高体連弓道専門部大会申込ｱﾄﾞﾚｽ</v>
      </c>
      <c r="E74" s="390"/>
      <c r="F74" s="448" t="str">
        <f t="shared" si="2"/>
        <v>gunkyumi@yahoo.co.jp</v>
      </c>
      <c r="G74" s="449"/>
      <c r="I74" s="197"/>
    </row>
    <row r="75" spans="1:10" s="191" customFormat="1" ht="12.75" customHeight="1">
      <c r="B75" s="197"/>
      <c r="C75" s="197"/>
      <c r="D75" s="195"/>
      <c r="E75" s="195"/>
      <c r="F75" s="195"/>
      <c r="G75" s="195"/>
      <c r="I75" s="197"/>
    </row>
    <row r="76" spans="1:10" s="191" customFormat="1" ht="22.5" customHeight="1">
      <c r="B76" s="384" t="str">
        <f>B11</f>
        <v>男　子　団　体　参　加　申　込　書</v>
      </c>
      <c r="C76" s="384"/>
      <c r="D76" s="384"/>
      <c r="E76" s="384"/>
      <c r="F76" s="384"/>
      <c r="G76" s="384"/>
    </row>
    <row r="77" spans="1:10" s="191" customFormat="1" ht="12.75" customHeight="1">
      <c r="A77" s="346" t="str">
        <f>IF(A12="","",A12)</f>
        <v>立順</v>
      </c>
      <c r="B77" s="198" t="str">
        <f t="shared" ref="B77:H77" si="3">IF(B12="","",B12)</f>
        <v>チーム</v>
      </c>
      <c r="C77" s="199" t="str">
        <f t="shared" si="3"/>
        <v>校　名</v>
      </c>
      <c r="D77" s="200" t="str">
        <f t="shared" si="3"/>
        <v>登録番号</v>
      </c>
      <c r="E77" s="201" t="str">
        <f t="shared" si="3"/>
        <v>立　順</v>
      </c>
      <c r="F77" s="202" t="str">
        <f t="shared" si="3"/>
        <v>選　　手　　名</v>
      </c>
      <c r="G77" s="203" t="str">
        <f t="shared" si="3"/>
        <v>学　年</v>
      </c>
      <c r="H77" s="349" t="str">
        <f t="shared" si="3"/>
        <v>重複ﾁｪｯｸ</v>
      </c>
    </row>
    <row r="78" spans="1:10" s="191" customFormat="1" ht="12.75" customHeight="1">
      <c r="A78" s="204" t="str">
        <f t="shared" ref="A78:H78" si="4">IF(A13="","",A13)</f>
        <v/>
      </c>
      <c r="B78" s="205" t="str">
        <f t="shared" si="4"/>
        <v>Ａ</v>
      </c>
      <c r="C78" s="234" t="str">
        <f t="shared" si="4"/>
        <v/>
      </c>
      <c r="D78" s="139" t="str">
        <f t="shared" si="4"/>
        <v/>
      </c>
      <c r="E78" s="234">
        <f t="shared" si="4"/>
        <v>1</v>
      </c>
      <c r="F78" s="208" t="str">
        <f t="shared" si="4"/>
        <v/>
      </c>
      <c r="G78" s="209" t="str">
        <f t="shared" si="4"/>
        <v/>
      </c>
      <c r="H78" s="209" t="str">
        <f t="shared" si="4"/>
        <v/>
      </c>
    </row>
    <row r="79" spans="1:10" s="191" customFormat="1" ht="12.75" customHeight="1">
      <c r="A79" s="210" t="str">
        <f t="shared" ref="A79:H79" si="5">IF(A14="","",A14)</f>
        <v/>
      </c>
      <c r="B79" s="211" t="str">
        <f t="shared" si="5"/>
        <v>Ａ</v>
      </c>
      <c r="C79" s="235" t="str">
        <f t="shared" si="5"/>
        <v/>
      </c>
      <c r="D79" s="140" t="str">
        <f t="shared" si="5"/>
        <v/>
      </c>
      <c r="E79" s="235">
        <f t="shared" si="5"/>
        <v>2</v>
      </c>
      <c r="F79" s="214" t="str">
        <f t="shared" si="5"/>
        <v/>
      </c>
      <c r="G79" s="215" t="str">
        <f t="shared" si="5"/>
        <v/>
      </c>
      <c r="H79" s="215" t="str">
        <f t="shared" si="5"/>
        <v/>
      </c>
    </row>
    <row r="80" spans="1:10" s="191" customFormat="1" ht="12.75" customHeight="1">
      <c r="A80" s="210" t="str">
        <f t="shared" ref="A80:H80" si="6">IF(A15="","",A15)</f>
        <v/>
      </c>
      <c r="B80" s="211" t="str">
        <f t="shared" si="6"/>
        <v>Ａ</v>
      </c>
      <c r="C80" s="235" t="str">
        <f t="shared" si="6"/>
        <v/>
      </c>
      <c r="D80" s="140" t="str">
        <f t="shared" si="6"/>
        <v/>
      </c>
      <c r="E80" s="235">
        <f t="shared" si="6"/>
        <v>3</v>
      </c>
      <c r="F80" s="214" t="str">
        <f t="shared" si="6"/>
        <v/>
      </c>
      <c r="G80" s="215" t="str">
        <f t="shared" si="6"/>
        <v/>
      </c>
      <c r="H80" s="215" t="str">
        <f t="shared" si="6"/>
        <v/>
      </c>
    </row>
    <row r="81" spans="1:8" s="191" customFormat="1" ht="12.75" customHeight="1">
      <c r="A81" s="225" t="str">
        <f t="shared" ref="A81:H81" si="7">IF(A16="","",A16)</f>
        <v/>
      </c>
      <c r="B81" s="226" t="str">
        <f t="shared" si="7"/>
        <v>Ａ</v>
      </c>
      <c r="C81" s="236" t="str">
        <f t="shared" si="7"/>
        <v/>
      </c>
      <c r="D81" s="141" t="str">
        <f t="shared" si="7"/>
        <v/>
      </c>
      <c r="E81" s="236">
        <f t="shared" si="7"/>
        <v>4</v>
      </c>
      <c r="F81" s="237" t="str">
        <f t="shared" si="7"/>
        <v/>
      </c>
      <c r="G81" s="230" t="str">
        <f t="shared" si="7"/>
        <v/>
      </c>
      <c r="H81" s="230" t="str">
        <f t="shared" si="7"/>
        <v/>
      </c>
    </row>
    <row r="82" spans="1:8" s="191" customFormat="1" ht="12.75" customHeight="1">
      <c r="B82" s="197" t="str">
        <f>B17</f>
        <v>（４はＡチーム補欠です）</v>
      </c>
    </row>
    <row r="83" spans="1:8" s="191" customFormat="1" ht="12.75" customHeight="1"/>
    <row r="84" spans="1:8" s="191" customFormat="1" ht="12.75" customHeight="1"/>
    <row r="85" spans="1:8" s="191" customFormat="1" ht="12.75" customHeight="1"/>
    <row r="86" spans="1:8" s="191" customFormat="1" ht="12.75" customHeight="1"/>
    <row r="87" spans="1:8" s="191" customFormat="1" ht="12.75" customHeight="1"/>
    <row r="88" spans="1:8" s="191" customFormat="1" ht="12.75" customHeight="1"/>
    <row r="89" spans="1:8" s="191" customFormat="1" ht="12.75" customHeight="1"/>
    <row r="90" spans="1:8" s="191" customFormat="1" ht="12.75" customHeight="1"/>
    <row r="91" spans="1:8" s="191" customFormat="1" ht="12.75" customHeight="1"/>
    <row r="92" spans="1:8" s="191" customFormat="1" ht="12.75" customHeight="1"/>
    <row r="93" spans="1:8" s="191" customFormat="1" ht="12.75" customHeight="1"/>
    <row r="94" spans="1:8" s="191" customFormat="1" ht="12.75" customHeight="1"/>
    <row r="95" spans="1:8" s="191" customFormat="1" ht="12.75" customHeight="1"/>
    <row r="96" spans="1:8" s="191" customFormat="1" ht="12.75" customHeight="1"/>
    <row r="97" s="191" customFormat="1" ht="12.75" customHeight="1"/>
    <row r="98" s="191" customFormat="1" ht="12.75" customHeight="1"/>
    <row r="99" s="191" customFormat="1" ht="12.75" customHeight="1"/>
    <row r="100" s="191" customFormat="1" ht="12.75" customHeight="1"/>
    <row r="101" s="191" customFormat="1" ht="12.75" customHeight="1"/>
    <row r="102" s="191" customFormat="1" ht="12.75" customHeight="1"/>
    <row r="103" s="191" customFormat="1" ht="12.75" customHeight="1"/>
    <row r="104" s="191" customFormat="1" ht="12.75" customHeight="1"/>
    <row r="105" s="191" customFormat="1" ht="12.75" customHeight="1"/>
    <row r="106" s="191" customFormat="1" ht="12.75" customHeight="1"/>
    <row r="107" s="191" customFormat="1" ht="12.75" customHeight="1"/>
    <row r="108" s="191" customFormat="1" ht="12.75" customHeight="1"/>
    <row r="109" s="191" customFormat="1" ht="12.75" customHeight="1"/>
    <row r="110" s="191" customFormat="1" ht="12.75" customHeight="1"/>
    <row r="111" s="191" customFormat="1" ht="12.75" customHeight="1"/>
    <row r="112" s="191" customFormat="1" ht="12.75" customHeight="1"/>
    <row r="113" spans="1:9" s="191" customFormat="1" ht="12.75" customHeight="1"/>
    <row r="114" spans="1:9" s="191" customFormat="1" ht="12.75" customHeight="1"/>
    <row r="115" spans="1:9" s="191" customFormat="1" ht="12.75" customHeight="1"/>
    <row r="116" spans="1:9" s="191" customFormat="1" ht="12.75" customHeight="1"/>
    <row r="117" spans="1:9" s="191" customFormat="1" ht="12.75" customHeight="1"/>
    <row r="118" spans="1:9" s="191" customFormat="1" ht="12.75" customHeight="1"/>
    <row r="119" spans="1:9" s="191" customFormat="1" ht="12.75" customHeight="1"/>
    <row r="120" spans="1:9" s="191" customFormat="1" ht="12.75" customHeight="1"/>
    <row r="121" spans="1:9" s="191" customFormat="1" ht="12.75" customHeight="1"/>
    <row r="122" spans="1:9" s="191" customFormat="1" ht="12.75" customHeight="1"/>
    <row r="123" spans="1:9" s="191" customFormat="1" ht="12.75" customHeight="1">
      <c r="A123" s="385" t="s">
        <v>406</v>
      </c>
      <c r="B123" s="385"/>
      <c r="C123" s="385"/>
      <c r="D123" s="385"/>
      <c r="E123" s="386">
        <f>E58</f>
        <v>43776</v>
      </c>
      <c r="F123" s="387"/>
      <c r="G123" s="238"/>
      <c r="H123" s="238"/>
      <c r="I123" s="238"/>
    </row>
    <row r="124" spans="1:9" s="191" customFormat="1" ht="12.75" customHeight="1">
      <c r="A124" s="348"/>
      <c r="B124" s="348"/>
      <c r="C124" s="348"/>
      <c r="D124" s="348"/>
      <c r="E124" s="239"/>
      <c r="F124" s="239"/>
      <c r="G124" s="238"/>
      <c r="H124" s="238"/>
      <c r="I124" s="238"/>
    </row>
    <row r="125" spans="1:9" s="191" customFormat="1" ht="12.75" customHeight="1">
      <c r="A125" s="348"/>
      <c r="B125" s="348"/>
      <c r="C125" s="348"/>
      <c r="D125" s="348"/>
      <c r="E125" s="238"/>
      <c r="F125" s="238"/>
      <c r="G125" s="238"/>
      <c r="H125" s="238"/>
      <c r="I125" s="238"/>
    </row>
    <row r="126" spans="1:9" s="191" customFormat="1" ht="12.75" customHeight="1">
      <c r="A126" s="239" t="s">
        <v>507</v>
      </c>
      <c r="B126" s="383" t="str">
        <f>B61</f>
        <v/>
      </c>
      <c r="C126" s="383"/>
      <c r="D126" s="383"/>
      <c r="E126" s="239" t="s">
        <v>199</v>
      </c>
      <c r="F126" s="249" t="str">
        <f>F61</f>
        <v xml:space="preserve">○　○　○　○　 </v>
      </c>
      <c r="G126" s="347" t="s">
        <v>511</v>
      </c>
      <c r="H126" s="238"/>
      <c r="I126" s="238"/>
    </row>
    <row r="127" spans="1:9" s="191" customFormat="1" ht="12.75" customHeight="1">
      <c r="A127" s="238"/>
      <c r="B127" s="238"/>
      <c r="C127" s="238"/>
      <c r="D127" s="238"/>
      <c r="E127" s="238"/>
      <c r="F127" s="238"/>
      <c r="G127" s="238"/>
      <c r="H127" s="240"/>
      <c r="I127" s="238"/>
    </row>
    <row r="128" spans="1:9" s="191" customFormat="1" ht="12.75" customHeight="1">
      <c r="A128" s="238"/>
      <c r="B128" s="238"/>
      <c r="C128" s="238"/>
      <c r="D128" s="238"/>
      <c r="E128" s="238"/>
      <c r="F128" s="238"/>
      <c r="G128" s="238"/>
      <c r="H128" s="240"/>
      <c r="I128" s="238"/>
    </row>
    <row r="129" spans="1:9" s="191" customFormat="1" ht="12.75" customHeight="1">
      <c r="A129" s="239" t="s">
        <v>510</v>
      </c>
      <c r="B129" s="383" t="str">
        <f>B64</f>
        <v/>
      </c>
      <c r="C129" s="383"/>
      <c r="D129" s="383"/>
      <c r="E129" s="239" t="s">
        <v>509</v>
      </c>
      <c r="F129" s="249" t="str">
        <f>F64</f>
        <v xml:space="preserve">○　○　○　○　 </v>
      </c>
      <c r="G129" s="347" t="s">
        <v>511</v>
      </c>
      <c r="H129" s="240"/>
      <c r="I129" s="238"/>
    </row>
    <row r="130" spans="1:9" s="191" customFormat="1" ht="12.75" customHeight="1"/>
  </sheetData>
  <sheetProtection password="CC71" sheet="1" objects="1" scenarios="1"/>
  <mergeCells count="43">
    <mergeCell ref="B76:G76"/>
    <mergeCell ref="A123:D123"/>
    <mergeCell ref="E123:F123"/>
    <mergeCell ref="B126:D126"/>
    <mergeCell ref="B129:D129"/>
    <mergeCell ref="B73:C73"/>
    <mergeCell ref="D73:E73"/>
    <mergeCell ref="F73:G73"/>
    <mergeCell ref="B74:C74"/>
    <mergeCell ref="D74:E74"/>
    <mergeCell ref="F74:G74"/>
    <mergeCell ref="B71:C71"/>
    <mergeCell ref="D71:G71"/>
    <mergeCell ref="B72:C72"/>
    <mergeCell ref="D72:E72"/>
    <mergeCell ref="F72:G72"/>
    <mergeCell ref="B69:C69"/>
    <mergeCell ref="D69:F69"/>
    <mergeCell ref="G69:H69"/>
    <mergeCell ref="A58:D58"/>
    <mergeCell ref="E58:F58"/>
    <mergeCell ref="B61:D61"/>
    <mergeCell ref="B64:D64"/>
    <mergeCell ref="C67:G67"/>
    <mergeCell ref="K2:K3"/>
    <mergeCell ref="L2:L3"/>
    <mergeCell ref="F7:G7"/>
    <mergeCell ref="B4:C4"/>
    <mergeCell ref="B6:C6"/>
    <mergeCell ref="D6:G6"/>
    <mergeCell ref="B7:C7"/>
    <mergeCell ref="C2:G2"/>
    <mergeCell ref="D4:F4"/>
    <mergeCell ref="G4:H4"/>
    <mergeCell ref="A2:A4"/>
    <mergeCell ref="B11:G11"/>
    <mergeCell ref="D7:E7"/>
    <mergeCell ref="B9:C9"/>
    <mergeCell ref="F9:G9"/>
    <mergeCell ref="D9:E9"/>
    <mergeCell ref="B8:C8"/>
    <mergeCell ref="D8:E8"/>
    <mergeCell ref="F8:G8"/>
  </mergeCells>
  <phoneticPr fontId="2"/>
  <dataValidations count="1">
    <dataValidation type="list" allowBlank="1" showInputMessage="1" showErrorMessage="1" errorTitle="個数エラー" error="0～2を入力" sqref="I4">
      <formula1>"0,1,2"</formula1>
    </dataValidation>
  </dataValidations>
  <hyperlinks>
    <hyperlink ref="F9:G9" r:id="rId1" display="gunkyumi@yahoo.co.jp"/>
  </hyperlinks>
  <printOptions horizontalCentered="1"/>
  <pageMargins left="0.39370078740157483" right="0.39370078740157483" top="0.39370078740157483" bottom="0.39370078740157483" header="0" footer="0"/>
  <pageSetup paperSize="9" orientation="portrait" horizontalDpi="300" r:id="rId2"/>
  <headerFooter alignWithMargins="0"/>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2:L130"/>
  <sheetViews>
    <sheetView zoomScaleNormal="100" workbookViewId="0"/>
  </sheetViews>
  <sheetFormatPr defaultColWidth="9" defaultRowHeight="12.75" customHeight="1"/>
  <cols>
    <col min="1" max="3" width="8.125" style="143" customWidth="1"/>
    <col min="4" max="4" width="15" style="143" customWidth="1"/>
    <col min="5" max="5" width="8.125" style="143" customWidth="1"/>
    <col min="6" max="6" width="24.25" style="143" customWidth="1"/>
    <col min="7" max="8" width="8.125" style="143" customWidth="1"/>
    <col min="9" max="9" width="4.25" style="143" customWidth="1"/>
    <col min="10" max="10" width="6.125" style="143" customWidth="1"/>
    <col min="11" max="16384" width="9" style="143"/>
  </cols>
  <sheetData>
    <row r="2" spans="1:12" ht="22.5" customHeight="1">
      <c r="A2" s="382" t="s">
        <v>518</v>
      </c>
      <c r="B2" s="340">
        <v>2</v>
      </c>
      <c r="C2" s="424" t="str">
        <f>日!B1&amp;"東日本高等学校弓道大会県予選会"</f>
        <v>令和元年度東日本高等学校弓道大会県予選会</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531</v>
      </c>
    </row>
    <row r="5" spans="1:12" ht="12.75" customHeight="1">
      <c r="B5" s="144"/>
      <c r="C5" s="144"/>
      <c r="D5" s="145"/>
      <c r="E5" s="145"/>
      <c r="F5" s="145"/>
      <c r="G5" s="145"/>
      <c r="K5" s="341" t="str">
        <f>SUBSTITUTE(SUBSTITUTE(K4," ",""),"　","")</f>
        <v>○○</v>
      </c>
      <c r="L5" s="341" t="str">
        <f>SUBSTITUTE(SUBSTITUTE(L4," ",""),"　","")</f>
        <v>○○</v>
      </c>
    </row>
    <row r="6" spans="1:12" ht="12.75" customHeight="1">
      <c r="B6" s="411" t="s">
        <v>39</v>
      </c>
      <c r="C6" s="411"/>
      <c r="D6" s="427">
        <v>15</v>
      </c>
      <c r="E6" s="427"/>
      <c r="F6" s="427"/>
      <c r="G6" s="427"/>
      <c r="I6" s="147"/>
    </row>
    <row r="7" spans="1:12" ht="12.75" customHeight="1">
      <c r="B7" s="411" t="s">
        <v>40</v>
      </c>
      <c r="C7" s="411"/>
      <c r="D7" s="422">
        <f>VLOOKUP(D6,日!$B$2:$F$111,3,0)</f>
        <v>43776</v>
      </c>
      <c r="E7" s="423"/>
      <c r="F7" s="416" t="str">
        <f>TEXT(WEEKDAY(D7,1),"aaaa")&amp;"　１６時"</f>
        <v>木曜日　１６時</v>
      </c>
      <c r="G7" s="417"/>
      <c r="I7" s="147"/>
    </row>
    <row r="8" spans="1:12" ht="12.75" customHeight="1">
      <c r="B8" s="411" t="s">
        <v>38</v>
      </c>
      <c r="C8" s="411"/>
      <c r="D8" s="418">
        <f>VLOOKUP(D6,日!$B$2:$F$111,5,0)</f>
        <v>43785</v>
      </c>
      <c r="E8" s="419"/>
      <c r="F8" s="420" t="str">
        <f>TEXT(WEEKDAY(D8,1),"aaaa")</f>
        <v>土曜日</v>
      </c>
      <c r="G8" s="421"/>
      <c r="I8" s="147"/>
    </row>
    <row r="9" spans="1:12" ht="12.75" customHeight="1">
      <c r="B9" s="411" t="s">
        <v>41</v>
      </c>
      <c r="C9" s="411"/>
      <c r="D9" s="412" t="s">
        <v>45</v>
      </c>
      <c r="E9" s="413"/>
      <c r="F9" s="395" t="s">
        <v>46</v>
      </c>
      <c r="G9" s="396"/>
      <c r="I9" s="147"/>
    </row>
    <row r="10" spans="1:12" ht="12.75" customHeight="1">
      <c r="B10" s="147"/>
      <c r="C10" s="147"/>
      <c r="D10" s="146"/>
      <c r="E10" s="146"/>
      <c r="F10" s="146"/>
      <c r="G10" s="146"/>
      <c r="I10" s="147"/>
    </row>
    <row r="11" spans="1:12" ht="22.5" customHeight="1">
      <c r="B11" s="414" t="str">
        <f>IF(B2=1,"男　子　団　体　参　加　申　込　書","女　子　団　体　参　加　申　込　書")</f>
        <v>女　子　団　体　参　加　申　込　書</v>
      </c>
      <c r="C11" s="414"/>
      <c r="D11" s="414"/>
      <c r="E11" s="414"/>
      <c r="F11" s="414"/>
      <c r="G11" s="414"/>
    </row>
    <row r="12" spans="1:12" ht="12.75" customHeight="1">
      <c r="A12" s="340" t="s">
        <v>32</v>
      </c>
      <c r="B12" s="148" t="s">
        <v>22</v>
      </c>
      <c r="C12" s="149" t="s">
        <v>10</v>
      </c>
      <c r="D12" s="150" t="s">
        <v>33</v>
      </c>
      <c r="E12" s="151" t="s">
        <v>12</v>
      </c>
      <c r="F12" s="152" t="s">
        <v>13</v>
      </c>
      <c r="G12" s="153" t="s">
        <v>14</v>
      </c>
      <c r="H12" s="341" t="s">
        <v>47</v>
      </c>
    </row>
    <row r="13" spans="1:12" ht="12.75" customHeight="1">
      <c r="A13" s="154" t="str">
        <f>IF($B$2=1,IF($D$13="","",IF(COUNT($D$13:$D$16)=1,VLOOKUP(登!$D$1,立男!$A$4:$I$100,9,0)+100,VLOOKUP(登!$D$1,立男!$A$4:$I$100,9,0))),IF($D$13="","",IF(COUNT($D$13:$D$16)=1,VLOOKUP(登!$D$1,立女!$A$4:$I$100,9,0)+100,VLOOKUP(登!$D$1,立女!$A$4:$I$100,9,0))))</f>
        <v/>
      </c>
      <c r="B13" s="155" t="s">
        <v>16</v>
      </c>
      <c r="C13" s="185" t="str">
        <f>IF(D13="","",登!$F$1)</f>
        <v/>
      </c>
      <c r="D13" s="63"/>
      <c r="E13" s="185">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9" t="str">
        <f>IF(D13="","",IF(COUNTIF($D$13:$D$16,D13)&gt;1,"選手重複!!","OK"))</f>
        <v/>
      </c>
    </row>
    <row r="14" spans="1:12" ht="12.75" customHeight="1">
      <c r="A14" s="160" t="str">
        <f>IF($B$2=1,IF($D$13="","",IF(COUNT($D$13:$D$16)=1,VLOOKUP(登!$D$1,立男!$A$4:$I$100,9,0)+100,VLOOKUP(登!$D$1,立男!$A$4:$I$100,9,0))),IF($D$13="","",IF(COUNT($D$13:$D$16)=1,VLOOKUP(登!$D$1,立女!$A$4:$I$100,9,0)+100,VLOOKUP(登!$D$1,立女!$A$4:$I$100,9,0))))</f>
        <v/>
      </c>
      <c r="B14" s="161" t="s">
        <v>16</v>
      </c>
      <c r="C14" s="186" t="str">
        <f>IF(D14="","",登!$F$1)</f>
        <v/>
      </c>
      <c r="D14" s="64"/>
      <c r="E14" s="186">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5" t="str">
        <f>IF(D14="","",IF(COUNTIF($D$13:$D$16,D14)&gt;1,"選手重複!!","OK"))</f>
        <v/>
      </c>
    </row>
    <row r="15" spans="1:12" ht="12.75" customHeight="1">
      <c r="A15" s="160" t="str">
        <f>IF($B$2=1,IF($D$13="","",IF(COUNT($D$13:$D$16)=1,VLOOKUP(登!$D$1,立男!$A$4:$I$100,9,0)+100,VLOOKUP(登!$D$1,立男!$A$4:$I$100,9,0))),IF($D$13="","",IF(COUNT($D$13:$D$16)=1,VLOOKUP(登!$D$1,立女!$A$4:$I$100,9,0)+100,VLOOKUP(登!$D$1,立女!$A$4:$I$100,9,0))))</f>
        <v/>
      </c>
      <c r="B15" s="161" t="s">
        <v>16</v>
      </c>
      <c r="C15" s="186" t="str">
        <f>IF(D15="","",登!$F$1)</f>
        <v/>
      </c>
      <c r="D15" s="64"/>
      <c r="E15" s="186">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5" t="str">
        <f>IF(D15="","",IF(COUNTIF($D$13:$D$16,D15)&gt;1,"選手重複!!","OK"))</f>
        <v/>
      </c>
    </row>
    <row r="16" spans="1:12" ht="12.75" customHeight="1">
      <c r="A16" s="175" t="str">
        <f>IF($B$2=1,IF($D$13="","",IF(COUNT($D$13:$D$16)=1,VLOOKUP(登!$D$1,立男!$A$4:$I$100,9,0)+100,VLOOKUP(登!$D$1,立男!$A$4:$I$100,9,0))),IF($D$13="","",IF(COUNT($D$13:$D$16)=1,VLOOKUP(登!$D$1,立女!$A$4:$I$100,9,0)+100,VLOOKUP(登!$D$1,立女!$A$4:$I$100,9,0))))</f>
        <v/>
      </c>
      <c r="B16" s="176" t="s">
        <v>34</v>
      </c>
      <c r="C16" s="187" t="str">
        <f>IF(D16="","",登!$F$1)</f>
        <v/>
      </c>
      <c r="D16" s="66"/>
      <c r="E16" s="187">
        <v>4</v>
      </c>
      <c r="F16" s="188" t="str">
        <f>IF(D16="","",IF(COUNTIF($D$13:D16,"")&gt;0,"大前から詰めて入力",IF(INT(VALUE(RIGHT(D16,3))/100)=$B$2,VLOOKUP(D16,登!$B$4:$I$103,7,0),"部員番号入力ミス")))</f>
        <v/>
      </c>
      <c r="G16" s="181" t="str">
        <f>IF(D16="","",IF(INT(VALUE(RIGHT(D16,3))/100)=$B$2,IF(VLOOKUP(D16,登!$B$4:$I$103,2,0)=登!$B$1,1,IF(VLOOKUP(D16,登!$B$4:$I$103,2,0)=登!$B$1-1,2,IF(VLOOKUP(D16,登!$B$4:$I$103,2,0)=登!$B$1-2,3,"学年ミス"))),"番号ミス"))</f>
        <v/>
      </c>
      <c r="H16" s="181" t="str">
        <f>IF(D16="","",IF(COUNTIF($D$13:$D$16,D16)&gt;1,"選手重複!!","OK"))</f>
        <v/>
      </c>
    </row>
    <row r="17" spans="2:2" ht="12.75" customHeight="1">
      <c r="B17" s="147" t="s">
        <v>535</v>
      </c>
    </row>
    <row r="58" spans="1:9" ht="12.75" customHeight="1">
      <c r="A58" s="410" t="s">
        <v>406</v>
      </c>
      <c r="B58" s="410"/>
      <c r="C58" s="410"/>
      <c r="D58" s="410"/>
      <c r="E58" s="407">
        <f>D7</f>
        <v>43776</v>
      </c>
      <c r="F58" s="408"/>
      <c r="G58" s="75"/>
      <c r="H58" s="75"/>
      <c r="I58" s="75"/>
    </row>
    <row r="59" spans="1:9" ht="12.75" customHeight="1">
      <c r="A59" s="344"/>
      <c r="B59" s="344"/>
      <c r="C59" s="344"/>
      <c r="D59" s="344"/>
      <c r="E59" s="189"/>
      <c r="F59" s="189"/>
      <c r="G59" s="75"/>
      <c r="H59" s="75"/>
      <c r="I59" s="75"/>
    </row>
    <row r="60" spans="1:9" ht="12.75" customHeight="1">
      <c r="A60" s="344"/>
      <c r="B60" s="344"/>
      <c r="C60" s="344"/>
      <c r="D60" s="344"/>
      <c r="E60" s="75"/>
      <c r="F60" s="75"/>
      <c r="G60" s="75"/>
      <c r="H60" s="75"/>
      <c r="I60" s="75"/>
    </row>
    <row r="61" spans="1:9" ht="12.75" customHeight="1">
      <c r="A61" s="189" t="s">
        <v>507</v>
      </c>
      <c r="B61" s="409" t="str">
        <f>IF(登!$D$1="",""," "&amp;VLOOKUP(登!$D$1,名!$G$2:$J$54,3,0))</f>
        <v/>
      </c>
      <c r="C61" s="409"/>
      <c r="D61" s="409"/>
      <c r="E61" s="189" t="s">
        <v>199</v>
      </c>
      <c r="F61" s="241" t="s">
        <v>529</v>
      </c>
      <c r="G61" s="352" t="s">
        <v>511</v>
      </c>
      <c r="H61" s="75"/>
      <c r="I61" s="75"/>
    </row>
    <row r="62" spans="1:9" ht="12.75" customHeight="1">
      <c r="A62" s="75"/>
      <c r="B62" s="75"/>
      <c r="C62" s="75"/>
      <c r="D62" s="75"/>
      <c r="E62" s="75"/>
      <c r="F62" s="75"/>
      <c r="G62" s="75"/>
      <c r="H62" s="74"/>
      <c r="I62" s="75"/>
    </row>
    <row r="63" spans="1:9" ht="12.75" customHeight="1">
      <c r="A63" s="75"/>
      <c r="B63" s="75"/>
      <c r="C63" s="75"/>
      <c r="D63" s="75"/>
      <c r="E63" s="75"/>
      <c r="F63" s="75"/>
      <c r="G63" s="75"/>
      <c r="H63" s="74"/>
      <c r="I63" s="75"/>
    </row>
    <row r="64" spans="1:9" ht="12.75" customHeight="1">
      <c r="A64" s="189" t="s">
        <v>510</v>
      </c>
      <c r="B64" s="409" t="str">
        <f>IF(登!$D$1="",""," "&amp;VLOOKUP(登!$D$1,名!$G$2:$J$54,4,0))</f>
        <v/>
      </c>
      <c r="C64" s="409"/>
      <c r="D64" s="409"/>
      <c r="E64" s="189" t="s">
        <v>509</v>
      </c>
      <c r="F64" s="241" t="s">
        <v>529</v>
      </c>
      <c r="G64" s="352" t="s">
        <v>511</v>
      </c>
      <c r="H64" s="74"/>
      <c r="I64" s="75"/>
    </row>
    <row r="66" spans="1:10" s="191" customFormat="1" ht="12.75" customHeight="1"/>
    <row r="67" spans="1:10" s="191" customFormat="1" ht="22.5" customHeight="1">
      <c r="B67" s="346">
        <f>B2</f>
        <v>2</v>
      </c>
      <c r="C67" s="398" t="str">
        <f>C2</f>
        <v>令和元年度東日本高等学校弓道大会県予選会</v>
      </c>
      <c r="D67" s="399"/>
      <c r="E67" s="399"/>
      <c r="F67" s="399"/>
      <c r="G67" s="400"/>
    </row>
    <row r="68" spans="1:10" s="191" customFormat="1" ht="12.75" customHeight="1">
      <c r="B68" s="193"/>
      <c r="C68" s="193"/>
      <c r="D68" s="194"/>
      <c r="E68" s="194"/>
      <c r="F68" s="194"/>
      <c r="G68" s="195"/>
    </row>
    <row r="69" spans="1:10" s="191" customFormat="1" ht="12.75" customHeight="1">
      <c r="B69" s="401" t="str">
        <f>B4</f>
        <v>監督名</v>
      </c>
      <c r="C69" s="401"/>
      <c r="D69" s="402" t="str">
        <f>D4</f>
        <v>○　○　○　○</v>
      </c>
      <c r="E69" s="403"/>
      <c r="F69" s="404"/>
      <c r="G69" s="405" t="s">
        <v>205</v>
      </c>
      <c r="H69" s="406"/>
      <c r="I69" s="353">
        <f>I4</f>
        <v>0</v>
      </c>
      <c r="J69" s="192"/>
    </row>
    <row r="70" spans="1:10" s="191" customFormat="1" ht="12.75" customHeight="1">
      <c r="B70" s="193"/>
      <c r="C70" s="193"/>
      <c r="D70" s="194"/>
      <c r="E70" s="194"/>
      <c r="F70" s="194"/>
      <c r="G70" s="194"/>
    </row>
    <row r="71" spans="1:10" s="191" customFormat="1" ht="12.75" customHeight="1">
      <c r="B71" s="388" t="str">
        <f>B6</f>
        <v>大会番号</v>
      </c>
      <c r="C71" s="388"/>
      <c r="D71" s="397">
        <f>D6</f>
        <v>15</v>
      </c>
      <c r="E71" s="397"/>
      <c r="F71" s="397"/>
      <c r="G71" s="397"/>
      <c r="I71" s="197"/>
    </row>
    <row r="72" spans="1:10" s="191" customFormat="1" ht="12.75" customHeight="1">
      <c r="B72" s="388" t="str">
        <f t="shared" ref="B72:B74" si="0">B7</f>
        <v>参加申込締切</v>
      </c>
      <c r="C72" s="388"/>
      <c r="D72" s="389">
        <f>D7</f>
        <v>43776</v>
      </c>
      <c r="E72" s="390"/>
      <c r="F72" s="391" t="str">
        <f>F7</f>
        <v>木曜日　１６時</v>
      </c>
      <c r="G72" s="392"/>
      <c r="I72" s="197"/>
    </row>
    <row r="73" spans="1:10" s="191" customFormat="1" ht="12.75" customHeight="1">
      <c r="B73" s="388" t="str">
        <f t="shared" si="0"/>
        <v>大会開催日</v>
      </c>
      <c r="C73" s="388"/>
      <c r="D73" s="389">
        <f t="shared" ref="D73:D74" si="1">D8</f>
        <v>43785</v>
      </c>
      <c r="E73" s="390"/>
      <c r="F73" s="391" t="str">
        <f t="shared" ref="F73:F74" si="2">F8</f>
        <v>土曜日</v>
      </c>
      <c r="G73" s="392"/>
      <c r="I73" s="197"/>
    </row>
    <row r="74" spans="1:10" s="191" customFormat="1" ht="12.75" customHeight="1">
      <c r="B74" s="388" t="str">
        <f t="shared" si="0"/>
        <v>申込先</v>
      </c>
      <c r="C74" s="388"/>
      <c r="D74" s="389" t="str">
        <f t="shared" si="1"/>
        <v>高体連弓道専門部大会申込ｱﾄﾞﾚｽ</v>
      </c>
      <c r="E74" s="390"/>
      <c r="F74" s="448" t="str">
        <f t="shared" si="2"/>
        <v>gunkyumi@yahoo.co.jp</v>
      </c>
      <c r="G74" s="449"/>
      <c r="I74" s="197"/>
    </row>
    <row r="75" spans="1:10" s="191" customFormat="1" ht="12.75" customHeight="1">
      <c r="B75" s="197"/>
      <c r="C75" s="197"/>
      <c r="D75" s="195"/>
      <c r="E75" s="195"/>
      <c r="F75" s="195"/>
      <c r="G75" s="195"/>
      <c r="I75" s="197"/>
    </row>
    <row r="76" spans="1:10" s="191" customFormat="1" ht="22.5" customHeight="1">
      <c r="B76" s="384" t="str">
        <f>B11</f>
        <v>女　子　団　体　参　加　申　込　書</v>
      </c>
      <c r="C76" s="384"/>
      <c r="D76" s="384"/>
      <c r="E76" s="384"/>
      <c r="F76" s="384"/>
      <c r="G76" s="384"/>
    </row>
    <row r="77" spans="1:10" s="191" customFormat="1" ht="12.75" customHeight="1">
      <c r="A77" s="346" t="str">
        <f>IF(A12="","",A12)</f>
        <v>立順</v>
      </c>
      <c r="B77" s="198" t="str">
        <f t="shared" ref="B77:H77" si="3">IF(B12="","",B12)</f>
        <v>チーム</v>
      </c>
      <c r="C77" s="199" t="str">
        <f t="shared" si="3"/>
        <v>校　名</v>
      </c>
      <c r="D77" s="200" t="str">
        <f t="shared" si="3"/>
        <v>登録番号</v>
      </c>
      <c r="E77" s="201" t="str">
        <f t="shared" si="3"/>
        <v>立　順</v>
      </c>
      <c r="F77" s="202" t="str">
        <f t="shared" si="3"/>
        <v>選　　手　　名</v>
      </c>
      <c r="G77" s="203" t="str">
        <f t="shared" si="3"/>
        <v>学　年</v>
      </c>
      <c r="H77" s="349" t="str">
        <f t="shared" si="3"/>
        <v>重複ﾁｪｯｸ</v>
      </c>
    </row>
    <row r="78" spans="1:10" s="191" customFormat="1" ht="12.75" customHeight="1">
      <c r="A78" s="204" t="str">
        <f t="shared" ref="A78:H81" si="4">IF(A13="","",A13)</f>
        <v/>
      </c>
      <c r="B78" s="205" t="str">
        <f t="shared" si="4"/>
        <v>Ａ</v>
      </c>
      <c r="C78" s="234" t="str">
        <f t="shared" si="4"/>
        <v/>
      </c>
      <c r="D78" s="139" t="str">
        <f t="shared" si="4"/>
        <v/>
      </c>
      <c r="E78" s="234">
        <f t="shared" si="4"/>
        <v>1</v>
      </c>
      <c r="F78" s="208" t="str">
        <f t="shared" si="4"/>
        <v/>
      </c>
      <c r="G78" s="209" t="str">
        <f t="shared" si="4"/>
        <v/>
      </c>
      <c r="H78" s="209" t="str">
        <f t="shared" si="4"/>
        <v/>
      </c>
    </row>
    <row r="79" spans="1:10" s="191" customFormat="1" ht="12.75" customHeight="1">
      <c r="A79" s="210" t="str">
        <f t="shared" si="4"/>
        <v/>
      </c>
      <c r="B79" s="211" t="str">
        <f t="shared" si="4"/>
        <v>Ａ</v>
      </c>
      <c r="C79" s="235" t="str">
        <f t="shared" si="4"/>
        <v/>
      </c>
      <c r="D79" s="140" t="str">
        <f t="shared" si="4"/>
        <v/>
      </c>
      <c r="E79" s="235">
        <f t="shared" si="4"/>
        <v>2</v>
      </c>
      <c r="F79" s="214" t="str">
        <f t="shared" si="4"/>
        <v/>
      </c>
      <c r="G79" s="215" t="str">
        <f t="shared" si="4"/>
        <v/>
      </c>
      <c r="H79" s="215" t="str">
        <f t="shared" si="4"/>
        <v/>
      </c>
    </row>
    <row r="80" spans="1:10" s="191" customFormat="1" ht="12.75" customHeight="1">
      <c r="A80" s="210" t="str">
        <f t="shared" si="4"/>
        <v/>
      </c>
      <c r="B80" s="211" t="str">
        <f t="shared" si="4"/>
        <v>Ａ</v>
      </c>
      <c r="C80" s="235" t="str">
        <f t="shared" si="4"/>
        <v/>
      </c>
      <c r="D80" s="140" t="str">
        <f t="shared" si="4"/>
        <v/>
      </c>
      <c r="E80" s="235">
        <f t="shared" si="4"/>
        <v>3</v>
      </c>
      <c r="F80" s="214" t="str">
        <f t="shared" si="4"/>
        <v/>
      </c>
      <c r="G80" s="215" t="str">
        <f t="shared" si="4"/>
        <v/>
      </c>
      <c r="H80" s="215" t="str">
        <f t="shared" si="4"/>
        <v/>
      </c>
    </row>
    <row r="81" spans="1:8" s="191" customFormat="1" ht="12.75" customHeight="1">
      <c r="A81" s="225" t="str">
        <f t="shared" si="4"/>
        <v/>
      </c>
      <c r="B81" s="226" t="str">
        <f t="shared" si="4"/>
        <v>Ａ</v>
      </c>
      <c r="C81" s="236" t="str">
        <f t="shared" si="4"/>
        <v/>
      </c>
      <c r="D81" s="141" t="str">
        <f t="shared" si="4"/>
        <v/>
      </c>
      <c r="E81" s="236">
        <f t="shared" si="4"/>
        <v>4</v>
      </c>
      <c r="F81" s="237" t="str">
        <f t="shared" si="4"/>
        <v/>
      </c>
      <c r="G81" s="230" t="str">
        <f t="shared" si="4"/>
        <v/>
      </c>
      <c r="H81" s="230" t="str">
        <f t="shared" si="4"/>
        <v/>
      </c>
    </row>
    <row r="82" spans="1:8" s="191" customFormat="1" ht="12.75" customHeight="1">
      <c r="B82" s="197" t="str">
        <f>B17</f>
        <v>（４はＡチーム補欠です）</v>
      </c>
    </row>
    <row r="83" spans="1:8" s="191" customFormat="1" ht="12.75" customHeight="1"/>
    <row r="84" spans="1:8" s="191" customFormat="1" ht="12.75" customHeight="1"/>
    <row r="85" spans="1:8" s="191" customFormat="1" ht="12.75" customHeight="1"/>
    <row r="86" spans="1:8" s="191" customFormat="1" ht="12.75" customHeight="1"/>
    <row r="87" spans="1:8" s="191" customFormat="1" ht="12.75" customHeight="1"/>
    <row r="88" spans="1:8" s="191" customFormat="1" ht="12.75" customHeight="1"/>
    <row r="89" spans="1:8" s="191" customFormat="1" ht="12.75" customHeight="1"/>
    <row r="90" spans="1:8" s="191" customFormat="1" ht="12.75" customHeight="1"/>
    <row r="91" spans="1:8" s="191" customFormat="1" ht="12.75" customHeight="1"/>
    <row r="92" spans="1:8" s="191" customFormat="1" ht="12.75" customHeight="1"/>
    <row r="93" spans="1:8" s="191" customFormat="1" ht="12.75" customHeight="1"/>
    <row r="94" spans="1:8" s="191" customFormat="1" ht="12.75" customHeight="1"/>
    <row r="95" spans="1:8" s="191" customFormat="1" ht="12.75" customHeight="1"/>
    <row r="96" spans="1:8" s="191" customFormat="1" ht="12.75" customHeight="1"/>
    <row r="97" s="191" customFormat="1" ht="12.75" customHeight="1"/>
    <row r="98" s="191" customFormat="1" ht="12.75" customHeight="1"/>
    <row r="99" s="191" customFormat="1" ht="12.75" customHeight="1"/>
    <row r="100" s="191" customFormat="1" ht="12.75" customHeight="1"/>
    <row r="101" s="191" customFormat="1" ht="12.75" customHeight="1"/>
    <row r="102" s="191" customFormat="1" ht="12.75" customHeight="1"/>
    <row r="103" s="191" customFormat="1" ht="12.75" customHeight="1"/>
    <row r="104" s="191" customFormat="1" ht="12.75" customHeight="1"/>
    <row r="105" s="191" customFormat="1" ht="12.75" customHeight="1"/>
    <row r="106" s="191" customFormat="1" ht="12.75" customHeight="1"/>
    <row r="107" s="191" customFormat="1" ht="12.75" customHeight="1"/>
    <row r="108" s="191" customFormat="1" ht="12.75" customHeight="1"/>
    <row r="109" s="191" customFormat="1" ht="12.75" customHeight="1"/>
    <row r="110" s="191" customFormat="1" ht="12.75" customHeight="1"/>
    <row r="111" s="191" customFormat="1" ht="12.75" customHeight="1"/>
    <row r="112" s="191" customFormat="1" ht="12.75" customHeight="1"/>
    <row r="113" spans="1:9" s="191" customFormat="1" ht="12.75" customHeight="1"/>
    <row r="114" spans="1:9" s="191" customFormat="1" ht="12.75" customHeight="1"/>
    <row r="115" spans="1:9" s="191" customFormat="1" ht="12.75" customHeight="1"/>
    <row r="116" spans="1:9" s="191" customFormat="1" ht="12.75" customHeight="1"/>
    <row r="117" spans="1:9" s="191" customFormat="1" ht="12.75" customHeight="1"/>
    <row r="118" spans="1:9" s="191" customFormat="1" ht="12.75" customHeight="1"/>
    <row r="119" spans="1:9" s="191" customFormat="1" ht="12.75" customHeight="1"/>
    <row r="120" spans="1:9" s="191" customFormat="1" ht="12.75" customHeight="1"/>
    <row r="121" spans="1:9" s="191" customFormat="1" ht="12.75" customHeight="1"/>
    <row r="122" spans="1:9" s="191" customFormat="1" ht="12.75" customHeight="1"/>
    <row r="123" spans="1:9" s="191" customFormat="1" ht="12.75" customHeight="1">
      <c r="A123" s="385" t="s">
        <v>406</v>
      </c>
      <c r="B123" s="385"/>
      <c r="C123" s="385"/>
      <c r="D123" s="385"/>
      <c r="E123" s="386">
        <f>E58</f>
        <v>43776</v>
      </c>
      <c r="F123" s="387"/>
      <c r="G123" s="238"/>
      <c r="H123" s="238"/>
      <c r="I123" s="238"/>
    </row>
    <row r="124" spans="1:9" s="191" customFormat="1" ht="12.75" customHeight="1">
      <c r="A124" s="348"/>
      <c r="B124" s="348"/>
      <c r="C124" s="348"/>
      <c r="D124" s="348"/>
      <c r="E124" s="239"/>
      <c r="F124" s="239"/>
      <c r="G124" s="238"/>
      <c r="H124" s="238"/>
      <c r="I124" s="238"/>
    </row>
    <row r="125" spans="1:9" s="191" customFormat="1" ht="12.75" customHeight="1">
      <c r="A125" s="348"/>
      <c r="B125" s="348"/>
      <c r="C125" s="348"/>
      <c r="D125" s="348"/>
      <c r="E125" s="238"/>
      <c r="F125" s="238"/>
      <c r="G125" s="238"/>
      <c r="H125" s="238"/>
      <c r="I125" s="238"/>
    </row>
    <row r="126" spans="1:9" s="191" customFormat="1" ht="12.75" customHeight="1">
      <c r="A126" s="239" t="s">
        <v>507</v>
      </c>
      <c r="B126" s="383" t="str">
        <f>B61</f>
        <v/>
      </c>
      <c r="C126" s="383"/>
      <c r="D126" s="383"/>
      <c r="E126" s="239" t="s">
        <v>199</v>
      </c>
      <c r="F126" s="249" t="str">
        <f>F61</f>
        <v xml:space="preserve">○　○　○　○　 </v>
      </c>
      <c r="G126" s="347" t="s">
        <v>511</v>
      </c>
      <c r="H126" s="238"/>
      <c r="I126" s="238"/>
    </row>
    <row r="127" spans="1:9" s="191" customFormat="1" ht="12.75" customHeight="1">
      <c r="A127" s="238"/>
      <c r="B127" s="238"/>
      <c r="C127" s="238"/>
      <c r="D127" s="238"/>
      <c r="E127" s="238"/>
      <c r="F127" s="238"/>
      <c r="G127" s="238"/>
      <c r="H127" s="240"/>
      <c r="I127" s="238"/>
    </row>
    <row r="128" spans="1:9" s="191" customFormat="1" ht="12.75" customHeight="1">
      <c r="A128" s="238"/>
      <c r="B128" s="238"/>
      <c r="C128" s="238"/>
      <c r="D128" s="238"/>
      <c r="E128" s="238"/>
      <c r="F128" s="238"/>
      <c r="G128" s="238"/>
      <c r="H128" s="240"/>
      <c r="I128" s="238"/>
    </row>
    <row r="129" spans="1:9" s="191" customFormat="1" ht="12.75" customHeight="1">
      <c r="A129" s="239" t="s">
        <v>510</v>
      </c>
      <c r="B129" s="383" t="str">
        <f>B64</f>
        <v/>
      </c>
      <c r="C129" s="383"/>
      <c r="D129" s="383"/>
      <c r="E129" s="239" t="s">
        <v>509</v>
      </c>
      <c r="F129" s="249" t="str">
        <f>F64</f>
        <v xml:space="preserve">○　○　○　○　 </v>
      </c>
      <c r="G129" s="347" t="s">
        <v>511</v>
      </c>
      <c r="H129" s="240"/>
      <c r="I129" s="238"/>
    </row>
    <row r="130" spans="1:9" s="191" customFormat="1" ht="12.75" customHeight="1"/>
  </sheetData>
  <sheetProtection password="CC71" sheet="1" objects="1" scenarios="1"/>
  <mergeCells count="43">
    <mergeCell ref="B126:D126"/>
    <mergeCell ref="B129:D129"/>
    <mergeCell ref="A2:A4"/>
    <mergeCell ref="B74:C74"/>
    <mergeCell ref="D74:E74"/>
    <mergeCell ref="B61:D61"/>
    <mergeCell ref="B64:D64"/>
    <mergeCell ref="C67:G67"/>
    <mergeCell ref="B69:C69"/>
    <mergeCell ref="D69:F69"/>
    <mergeCell ref="G69:H69"/>
    <mergeCell ref="B9:C9"/>
    <mergeCell ref="D9:E9"/>
    <mergeCell ref="F9:G9"/>
    <mergeCell ref="B11:G11"/>
    <mergeCell ref="A58:D58"/>
    <mergeCell ref="F74:G74"/>
    <mergeCell ref="B76:G76"/>
    <mergeCell ref="A123:D123"/>
    <mergeCell ref="E123:F123"/>
    <mergeCell ref="B71:C71"/>
    <mergeCell ref="D71:G71"/>
    <mergeCell ref="B72:C72"/>
    <mergeCell ref="D72:E72"/>
    <mergeCell ref="F72:G72"/>
    <mergeCell ref="B73:C73"/>
    <mergeCell ref="D73:E73"/>
    <mergeCell ref="F73:G73"/>
    <mergeCell ref="E58:F58"/>
    <mergeCell ref="B6:C6"/>
    <mergeCell ref="D6:G6"/>
    <mergeCell ref="B7:C7"/>
    <mergeCell ref="D7:E7"/>
    <mergeCell ref="F7:G7"/>
    <mergeCell ref="B8:C8"/>
    <mergeCell ref="D8:E8"/>
    <mergeCell ref="F8:G8"/>
    <mergeCell ref="C2:G2"/>
    <mergeCell ref="K2:K3"/>
    <mergeCell ref="L2:L3"/>
    <mergeCell ref="B4:C4"/>
    <mergeCell ref="D4:F4"/>
    <mergeCell ref="G4:H4"/>
  </mergeCells>
  <phoneticPr fontId="2"/>
  <dataValidations count="1">
    <dataValidation type="list" allowBlank="1" showInputMessage="1" showErrorMessage="1" errorTitle="個数エラー" error="0～2を入力" sqref="I4">
      <formula1>"0,1,2"</formula1>
    </dataValidation>
  </dataValidations>
  <hyperlinks>
    <hyperlink ref="F9:G9" r:id="rId1" display="gunkyumi@yahoo.co.jp"/>
  </hyperlinks>
  <printOptions horizontalCentered="1"/>
  <pageMargins left="0.39370078740157483" right="0.39370078740157483" top="0.39370078740157483" bottom="0.39370078740157483" header="0" footer="0"/>
  <pageSetup paperSize="9" orientation="portrait" horizontalDpi="300" r:id="rId2"/>
  <headerFooter alignWithMargins="0"/>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1"/>
  </sheetPr>
  <dimension ref="A1"/>
  <sheetViews>
    <sheetView zoomScaleNormal="100" workbookViewId="0"/>
  </sheetViews>
  <sheetFormatPr defaultRowHeight="13.5"/>
  <cols>
    <col min="1" max="16384" width="9" style="190"/>
  </cols>
  <sheetData/>
  <sheetProtection password="CC71" sheet="1" objects="1" scenarios="1"/>
  <phoneticPr fontId="2"/>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6" tint="0.59999389629810485"/>
  </sheetPr>
  <dimension ref="A2:L57"/>
  <sheetViews>
    <sheetView zoomScale="93" zoomScaleNormal="93" workbookViewId="0"/>
  </sheetViews>
  <sheetFormatPr defaultColWidth="9" defaultRowHeight="12.75" customHeight="1"/>
  <cols>
    <col min="1" max="3" width="6.875" style="75" customWidth="1"/>
    <col min="4" max="4" width="17.5" style="75" customWidth="1"/>
    <col min="5" max="5" width="10.875" style="75" customWidth="1"/>
    <col min="6" max="6" width="17.625" style="75" customWidth="1"/>
    <col min="7" max="7" width="10.875" style="75" customWidth="1"/>
    <col min="8" max="8" width="8.625" style="74" customWidth="1"/>
    <col min="9" max="9" width="8.625" style="75" customWidth="1"/>
    <col min="10" max="10" width="2.125" style="75" customWidth="1"/>
    <col min="11" max="16384" width="9" style="75"/>
  </cols>
  <sheetData>
    <row r="2" spans="1:12" ht="22.5" customHeight="1">
      <c r="A2" s="251"/>
      <c r="B2" s="350">
        <v>1</v>
      </c>
      <c r="C2" s="424" t="str">
        <f>日!B1&amp;" １年研修会（リーダー研修会・団体対策）"</f>
        <v>令和元年度 １年研修会（リーダー研修会・団体対策）</v>
      </c>
      <c r="D2" s="425"/>
      <c r="E2" s="425"/>
      <c r="F2" s="425"/>
      <c r="G2" s="426"/>
      <c r="K2" s="436" t="s">
        <v>252</v>
      </c>
      <c r="L2" s="436" t="s">
        <v>251</v>
      </c>
    </row>
    <row r="3" spans="1:12" ht="12.75" customHeight="1">
      <c r="A3" s="251"/>
      <c r="B3" s="282"/>
      <c r="C3" s="282"/>
      <c r="D3" s="283"/>
      <c r="E3" s="283"/>
      <c r="F3" s="283"/>
      <c r="G3" s="283"/>
      <c r="K3" s="436"/>
      <c r="L3" s="436"/>
    </row>
    <row r="4" spans="1:12" ht="12.75" customHeight="1">
      <c r="A4" s="251"/>
      <c r="B4" s="415" t="s">
        <v>11</v>
      </c>
      <c r="C4" s="415"/>
      <c r="D4" s="411" t="str">
        <f>IF(K5="","",IF(LENB(K5)+LENB(L5)&gt;=14,K5&amp;L5,IF(LENB(L5)=8,IF(LENB(K5)&lt;=6,IF(LENB(K5)=2,K5&amp;"　　",IF(LENB(K5)=4,LEFT(K5,1)&amp;"　"&amp;RIGHT(K5,1),K5)),K5),IF(LENB(K5)&lt;=6,IF(LENB(K5)=2,K5&amp;"　　　",IF(LENB(K5)=4,LEFT(K5,1)&amp;"　"&amp;RIGHT(K5,1)&amp;"　",K5&amp;"　")),K5)))&amp;IF(K5="","",IF(LENB(K5)+LENB(L5)&gt;=14,"",IF(LENB(L5)=2,"　　"&amp;L5,IF(LENB(L5)=4,LEFT(L5,1)&amp;"　"&amp;RIGHT(L5,1),L5)))))</f>
        <v>○　○　○　○</v>
      </c>
      <c r="E4" s="411"/>
      <c r="F4" s="411"/>
      <c r="G4" s="411"/>
      <c r="K4" s="62" t="s">
        <v>531</v>
      </c>
      <c r="L4" s="62" t="s">
        <v>532</v>
      </c>
    </row>
    <row r="5" spans="1:12" ht="12.75" customHeight="1">
      <c r="B5" s="144"/>
      <c r="C5" s="144"/>
      <c r="D5" s="145"/>
      <c r="E5" s="145"/>
      <c r="F5" s="533"/>
      <c r="G5" s="533"/>
      <c r="K5" s="284" t="str">
        <f>SUBSTITUTE(SUBSTITUTE(K4," ",""),"　","")</f>
        <v>○○</v>
      </c>
      <c r="L5" s="284" t="str">
        <f>SUBSTITUTE(SUBSTITUTE(L4," ",""),"　","")</f>
        <v>○○</v>
      </c>
    </row>
    <row r="6" spans="1:12" ht="12.75" customHeight="1">
      <c r="B6" s="411" t="s">
        <v>39</v>
      </c>
      <c r="C6" s="411"/>
      <c r="D6" s="345">
        <v>16</v>
      </c>
      <c r="E6" s="354"/>
      <c r="F6" s="534"/>
      <c r="G6" s="313"/>
      <c r="H6" s="351"/>
      <c r="I6" s="351"/>
    </row>
    <row r="7" spans="1:12" ht="12.75" customHeight="1">
      <c r="B7" s="411" t="s">
        <v>40</v>
      </c>
      <c r="C7" s="411"/>
      <c r="D7" s="343">
        <f>VLOOKUP(D6,日!$B$2:$F$111,3,0)</f>
        <v>43668</v>
      </c>
      <c r="E7" s="535" t="str">
        <f>TEXT(WEEKDAY(D7,1),"aaaa")</f>
        <v>月曜日</v>
      </c>
      <c r="F7" s="534"/>
      <c r="G7" s="313"/>
      <c r="H7" s="351"/>
      <c r="I7" s="351"/>
    </row>
    <row r="8" spans="1:12" ht="12.75" customHeight="1">
      <c r="B8" s="411" t="s">
        <v>38</v>
      </c>
      <c r="C8" s="411"/>
      <c r="D8" s="342">
        <f>VLOOKUP(D6,日!$B$2:$F$111,5,0)</f>
        <v>43708</v>
      </c>
      <c r="E8" s="536" t="str">
        <f>TEXT(WEEKDAY(D8,1),"aaaa")</f>
        <v>土曜日</v>
      </c>
      <c r="F8" s="537"/>
      <c r="G8" s="538"/>
      <c r="H8" s="351"/>
      <c r="I8" s="351"/>
    </row>
    <row r="9" spans="1:12" ht="12.75" customHeight="1">
      <c r="B9" s="411" t="s">
        <v>41</v>
      </c>
      <c r="C9" s="411"/>
      <c r="D9" s="412" t="s">
        <v>45</v>
      </c>
      <c r="E9" s="413"/>
      <c r="F9" s="539" t="s">
        <v>46</v>
      </c>
      <c r="G9" s="540"/>
      <c r="I9" s="351"/>
    </row>
    <row r="10" spans="1:12" ht="12.75" customHeight="1">
      <c r="B10" s="351"/>
      <c r="C10" s="351"/>
      <c r="D10" s="291"/>
      <c r="E10" s="291"/>
      <c r="F10" s="291"/>
      <c r="G10" s="291"/>
      <c r="I10" s="351"/>
    </row>
    <row r="11" spans="1:12" ht="22.5" customHeight="1">
      <c r="B11" s="414" t="s">
        <v>206</v>
      </c>
      <c r="C11" s="414"/>
      <c r="D11" s="414"/>
      <c r="E11" s="414"/>
      <c r="F11" s="414"/>
      <c r="G11" s="414"/>
    </row>
    <row r="12" spans="1:12" ht="12.75" customHeight="1">
      <c r="B12" s="91"/>
      <c r="C12" s="92" t="s">
        <v>10</v>
      </c>
      <c r="D12" s="93" t="s">
        <v>33</v>
      </c>
      <c r="E12" s="94" t="s">
        <v>12</v>
      </c>
      <c r="F12" s="95" t="s">
        <v>13</v>
      </c>
      <c r="G12" s="96" t="s">
        <v>14</v>
      </c>
      <c r="H12" s="350" t="s">
        <v>47</v>
      </c>
      <c r="I12" s="96" t="s">
        <v>250</v>
      </c>
    </row>
    <row r="13" spans="1:12" ht="12.75" customHeight="1">
      <c r="B13" s="98"/>
      <c r="C13" s="99" t="str">
        <f>IF(D13="","",登!$F$1)</f>
        <v/>
      </c>
      <c r="D13" s="63"/>
      <c r="E13" s="99">
        <v>1</v>
      </c>
      <c r="F13" s="100" t="str">
        <f>IF(D13="","",VLOOKUP(D13,登!$B$4:$I$103,7,0))</f>
        <v/>
      </c>
      <c r="G13" s="119" t="str">
        <f>IF(D13="","",IF(VLOOKUP(D13,登!$B$4:$I$103,2,0)=登!$B$1,1,IF(VLOOKUP(D13,登!$B$4:$I$103,2,0)=登!$B$1-1,2,IF(VLOOKUP(D13,登!$B$4:$I$103,2,0)=登!$B$1-2,3,"学年ミス"))))</f>
        <v/>
      </c>
      <c r="H13" s="119" t="str">
        <f>IF(D13="","",IF(COUNTIF($D$13:$D$57,D13)&gt;1,"選手重複!!","OK"))</f>
        <v/>
      </c>
      <c r="I13" s="119" t="str">
        <f>IF(D13="","",IF(VLOOKUP(D13,登!$B$4:$I$103,3,0)=1,"男","女"))</f>
        <v/>
      </c>
    </row>
    <row r="14" spans="1:12" ht="12.75" customHeight="1">
      <c r="B14" s="104"/>
      <c r="C14" s="105" t="str">
        <f>IF(D14="","",登!$F$1)</f>
        <v/>
      </c>
      <c r="D14" s="37"/>
      <c r="E14" s="105">
        <v>2</v>
      </c>
      <c r="F14" s="106" t="str">
        <f>IF(D14="","",IF(COUNTIF($D$13:D14,"")=0,VLOOKUP(D14,登!$B$4:$I$103,7,0),"１番から詰めて入力してください"))</f>
        <v/>
      </c>
      <c r="G14" s="108" t="str">
        <f>IF(D14="","",IF(VLOOKUP(D14,登!$B$4:$I$103,2,0)=登!$B$1,1,IF(VLOOKUP(D14,登!$B$4:$I$103,2,0)=登!$B$1-1,2,IF(VLOOKUP(D14,登!$B$4:$I$103,2,0)=登!$B$1-2,3,"学年ミス"))))</f>
        <v/>
      </c>
      <c r="H14" s="108" t="str">
        <f t="shared" ref="H14:H56" si="0">IF(D14="","",IF(COUNTIF($D$13:$D$57,D14)&gt;1,"選手重複!!","OK"))</f>
        <v/>
      </c>
      <c r="I14" s="108" t="str">
        <f>IF(D14="","",IF(VLOOKUP(D14,登!$B$4:$I$103,3,0)=1,"男","女"))</f>
        <v/>
      </c>
    </row>
    <row r="15" spans="1:12" ht="12.75" customHeight="1">
      <c r="B15" s="104"/>
      <c r="C15" s="105" t="str">
        <f>IF(D15="","",登!$F$1)</f>
        <v/>
      </c>
      <c r="D15" s="37"/>
      <c r="E15" s="105">
        <v>3</v>
      </c>
      <c r="F15" s="106" t="str">
        <f>IF(D15="","",IF(COUNTIF($D$13:D15,"")=0,VLOOKUP(D15,登!$B$4:$I$103,7,0),"１番から詰めて入力してください"))</f>
        <v/>
      </c>
      <c r="G15" s="108" t="str">
        <f>IF(D15="","",IF(VLOOKUP(D15,登!$B$4:$I$103,2,0)=登!$B$1,1,IF(VLOOKUP(D15,登!$B$4:$I$103,2,0)=登!$B$1-1,2,IF(VLOOKUP(D15,登!$B$4:$I$103,2,0)=登!$B$1-2,3,"学年ミス"))))</f>
        <v/>
      </c>
      <c r="H15" s="108" t="str">
        <f t="shared" si="0"/>
        <v/>
      </c>
      <c r="I15" s="108" t="str">
        <f>IF(D15="","",IF(VLOOKUP(D15,登!$B$4:$I$103,3,0)=1,"男","女"))</f>
        <v/>
      </c>
    </row>
    <row r="16" spans="1:12" ht="12.75" customHeight="1">
      <c r="B16" s="104"/>
      <c r="C16" s="105" t="str">
        <f>IF(D16="","",登!$F$1)</f>
        <v/>
      </c>
      <c r="D16" s="37"/>
      <c r="E16" s="105">
        <v>4</v>
      </c>
      <c r="F16" s="106" t="str">
        <f>IF(D16="","",IF(COUNTIF($D$13:D16,"")=0,VLOOKUP(D16,登!$B$4:$I$103,7,0),"１番から詰めて入力してください"))</f>
        <v/>
      </c>
      <c r="G16" s="108" t="str">
        <f>IF(D16="","",IF(VLOOKUP(D16,登!$B$4:$I$103,2,0)=登!$B$1,1,IF(VLOOKUP(D16,登!$B$4:$I$103,2,0)=登!$B$1-1,2,IF(VLOOKUP(D16,登!$B$4:$I$103,2,0)=登!$B$1-2,3,"学年ミス"))))</f>
        <v/>
      </c>
      <c r="H16" s="108" t="str">
        <f t="shared" si="0"/>
        <v/>
      </c>
      <c r="I16" s="108" t="str">
        <f>IF(D16="","",IF(VLOOKUP(D16,登!$B$4:$I$103,3,0)=1,"男","女"))</f>
        <v/>
      </c>
    </row>
    <row r="17" spans="2:9" ht="12.75" customHeight="1">
      <c r="B17" s="104"/>
      <c r="C17" s="105" t="str">
        <f>IF(D17="","",登!$F$1)</f>
        <v/>
      </c>
      <c r="D17" s="37"/>
      <c r="E17" s="105">
        <v>5</v>
      </c>
      <c r="F17" s="106" t="str">
        <f>IF(D17="","",IF(COUNTIF($D$13:D17,"")=0,VLOOKUP(D17,登!$B$4:$I$103,7,0),"１番から詰めて入力してください"))</f>
        <v/>
      </c>
      <c r="G17" s="108" t="str">
        <f>IF(D17="","",IF(VLOOKUP(D17,登!$B$4:$I$103,2,0)=登!$B$1,1,IF(VLOOKUP(D17,登!$B$4:$I$103,2,0)=登!$B$1-1,2,IF(VLOOKUP(D17,登!$B$4:$I$103,2,0)=登!$B$1-2,3,"学年ミス"))))</f>
        <v/>
      </c>
      <c r="H17" s="108" t="str">
        <f t="shared" si="0"/>
        <v/>
      </c>
      <c r="I17" s="108" t="str">
        <f>IF(D17="","",IF(VLOOKUP(D17,登!$B$4:$I$103,3,0)=1,"男","女"))</f>
        <v/>
      </c>
    </row>
    <row r="18" spans="2:9" ht="12.75" customHeight="1">
      <c r="B18" s="104"/>
      <c r="C18" s="105" t="str">
        <f>IF(D18="","",登!$F$1)</f>
        <v/>
      </c>
      <c r="D18" s="37"/>
      <c r="E18" s="105">
        <v>6</v>
      </c>
      <c r="F18" s="106" t="str">
        <f>IF(D18="","",IF(COUNTIF($D$13:D18,"")=0,VLOOKUP(D18,登!$B$4:$I$103,7,0),"１番から詰めて入力してください"))</f>
        <v/>
      </c>
      <c r="G18" s="108" t="str">
        <f>IF(D18="","",IF(VLOOKUP(D18,登!$B$4:$I$103,2,0)=登!$B$1,1,IF(VLOOKUP(D18,登!$B$4:$I$103,2,0)=登!$B$1-1,2,IF(VLOOKUP(D18,登!$B$4:$I$103,2,0)=登!$B$1-2,3,"学年ミス"))))</f>
        <v/>
      </c>
      <c r="H18" s="108" t="str">
        <f t="shared" si="0"/>
        <v/>
      </c>
      <c r="I18" s="108" t="str">
        <f>IF(D18="","",IF(VLOOKUP(D18,登!$B$4:$I$103,3,0)=1,"男","女"))</f>
        <v/>
      </c>
    </row>
    <row r="19" spans="2:9" ht="12.75" customHeight="1">
      <c r="B19" s="104"/>
      <c r="C19" s="105" t="str">
        <f>IF(D19="","",登!$F$1)</f>
        <v/>
      </c>
      <c r="D19" s="37"/>
      <c r="E19" s="105">
        <v>7</v>
      </c>
      <c r="F19" s="106" t="str">
        <f>IF(D19="","",IF(COUNTIF($D$13:D19,"")=0,VLOOKUP(D19,登!$B$4:$I$103,7,0),"１番から詰めて入力してください"))</f>
        <v/>
      </c>
      <c r="G19" s="108" t="str">
        <f>IF(D19="","",IF(VLOOKUP(D19,登!$B$4:$I$103,2,0)=登!$B$1,1,IF(VLOOKUP(D19,登!$B$4:$I$103,2,0)=登!$B$1-1,2,IF(VLOOKUP(D19,登!$B$4:$I$103,2,0)=登!$B$1-2,3,"学年ミス"))))</f>
        <v/>
      </c>
      <c r="H19" s="108" t="str">
        <f t="shared" si="0"/>
        <v/>
      </c>
      <c r="I19" s="108" t="str">
        <f>IF(D19="","",IF(VLOOKUP(D19,登!$B$4:$I$103,3,0)=1,"男","女"))</f>
        <v/>
      </c>
    </row>
    <row r="20" spans="2:9" ht="12.75" customHeight="1">
      <c r="B20" s="104"/>
      <c r="C20" s="105" t="str">
        <f>IF(D20="","",登!$F$1)</f>
        <v/>
      </c>
      <c r="D20" s="37"/>
      <c r="E20" s="105">
        <v>8</v>
      </c>
      <c r="F20" s="106" t="str">
        <f>IF(D20="","",IF(COUNTIF($D$13:D20,"")=0,VLOOKUP(D20,登!$B$4:$I$103,7,0),"１番から詰めて入力してください"))</f>
        <v/>
      </c>
      <c r="G20" s="108" t="str">
        <f>IF(D20="","",IF(VLOOKUP(D20,登!$B$4:$I$103,2,0)=登!$B$1,1,IF(VLOOKUP(D20,登!$B$4:$I$103,2,0)=登!$B$1-1,2,IF(VLOOKUP(D20,登!$B$4:$I$103,2,0)=登!$B$1-2,3,"学年ミス"))))</f>
        <v/>
      </c>
      <c r="H20" s="108" t="str">
        <f t="shared" si="0"/>
        <v/>
      </c>
      <c r="I20" s="108" t="str">
        <f>IF(D20="","",IF(VLOOKUP(D20,登!$B$4:$I$103,3,0)=1,"男","女"))</f>
        <v/>
      </c>
    </row>
    <row r="21" spans="2:9" ht="12.75" customHeight="1">
      <c r="B21" s="104"/>
      <c r="C21" s="105" t="str">
        <f>IF(D21="","",登!$F$1)</f>
        <v/>
      </c>
      <c r="D21" s="37"/>
      <c r="E21" s="105">
        <v>9</v>
      </c>
      <c r="F21" s="106" t="str">
        <f>IF(D21="","",IF(COUNTIF($D$13:D21,"")=0,VLOOKUP(D21,登!$B$4:$I$103,7,0),"１番から詰めて入力してください"))</f>
        <v/>
      </c>
      <c r="G21" s="108" t="str">
        <f>IF(D21="","",IF(VLOOKUP(D21,登!$B$4:$I$103,2,0)=登!$B$1,1,IF(VLOOKUP(D21,登!$B$4:$I$103,2,0)=登!$B$1-1,2,IF(VLOOKUP(D21,登!$B$4:$I$103,2,0)=登!$B$1-2,3,"学年ミス"))))</f>
        <v/>
      </c>
      <c r="H21" s="108" t="str">
        <f t="shared" si="0"/>
        <v/>
      </c>
      <c r="I21" s="108" t="str">
        <f>IF(D21="","",IF(VLOOKUP(D21,登!$B$4:$I$103,3,0)=1,"男","女"))</f>
        <v/>
      </c>
    </row>
    <row r="22" spans="2:9" ht="12.75" customHeight="1">
      <c r="B22" s="104"/>
      <c r="C22" s="105" t="str">
        <f>IF(D22="","",登!$F$1)</f>
        <v/>
      </c>
      <c r="D22" s="37"/>
      <c r="E22" s="105">
        <v>10</v>
      </c>
      <c r="F22" s="106" t="str">
        <f>IF(D22="","",IF(COUNTIF($D$13:D22,"")=0,VLOOKUP(D22,登!$B$4:$I$103,7,0),"１番から詰めて入力してください"))</f>
        <v/>
      </c>
      <c r="G22" s="108" t="str">
        <f>IF(D22="","",IF(VLOOKUP(D22,登!$B$4:$I$103,2,0)=登!$B$1,1,IF(VLOOKUP(D22,登!$B$4:$I$103,2,0)=登!$B$1-1,2,IF(VLOOKUP(D22,登!$B$4:$I$103,2,0)=登!$B$1-2,3,"学年ミス"))))</f>
        <v/>
      </c>
      <c r="H22" s="108" t="str">
        <f t="shared" si="0"/>
        <v/>
      </c>
      <c r="I22" s="108" t="str">
        <f>IF(D22="","",IF(VLOOKUP(D22,登!$B$4:$I$103,3,0)=1,"男","女"))</f>
        <v/>
      </c>
    </row>
    <row r="23" spans="2:9" ht="12.75" customHeight="1">
      <c r="B23" s="104"/>
      <c r="C23" s="105" t="str">
        <f>IF(D23="","",登!$F$1)</f>
        <v/>
      </c>
      <c r="D23" s="37"/>
      <c r="E23" s="105">
        <v>11</v>
      </c>
      <c r="F23" s="106" t="str">
        <f>IF(D23="","",IF(COUNTIF($D$13:D23,"")=0,VLOOKUP(D23,登!$B$4:$I$103,7,0),"１番から詰めて入力してください"))</f>
        <v/>
      </c>
      <c r="G23" s="108" t="str">
        <f>IF(D23="","",IF(VLOOKUP(D23,登!$B$4:$I$103,2,0)=登!$B$1,1,IF(VLOOKUP(D23,登!$B$4:$I$103,2,0)=登!$B$1-1,2,IF(VLOOKUP(D23,登!$B$4:$I$103,2,0)=登!$B$1-2,3,"学年ミス"))))</f>
        <v/>
      </c>
      <c r="H23" s="108" t="str">
        <f t="shared" si="0"/>
        <v/>
      </c>
      <c r="I23" s="108" t="str">
        <f>IF(D23="","",IF(VLOOKUP(D23,登!$B$4:$I$103,3,0)=1,"男","女"))</f>
        <v/>
      </c>
    </row>
    <row r="24" spans="2:9" ht="12.75" customHeight="1">
      <c r="B24" s="104"/>
      <c r="C24" s="105" t="str">
        <f>IF(D24="","",登!$F$1)</f>
        <v/>
      </c>
      <c r="D24" s="37"/>
      <c r="E24" s="105">
        <v>12</v>
      </c>
      <c r="F24" s="106" t="str">
        <f>IF(D24="","",IF(COUNTIF($D$13:D24,"")=0,VLOOKUP(D24,登!$B$4:$I$103,7,0),"１番から詰めて入力してください"))</f>
        <v/>
      </c>
      <c r="G24" s="108" t="str">
        <f>IF(D24="","",IF(VLOOKUP(D24,登!$B$4:$I$103,2,0)=登!$B$1,1,IF(VLOOKUP(D24,登!$B$4:$I$103,2,0)=登!$B$1-1,2,IF(VLOOKUP(D24,登!$B$4:$I$103,2,0)=登!$B$1-2,3,"学年ミス"))))</f>
        <v/>
      </c>
      <c r="H24" s="108" t="str">
        <f t="shared" si="0"/>
        <v/>
      </c>
      <c r="I24" s="108" t="str">
        <f>IF(D24="","",IF(VLOOKUP(D24,登!$B$4:$I$103,3,0)=1,"男","女"))</f>
        <v/>
      </c>
    </row>
    <row r="25" spans="2:9" ht="12.75" customHeight="1">
      <c r="B25" s="104"/>
      <c r="C25" s="105" t="str">
        <f>IF(D25="","",登!$F$1)</f>
        <v/>
      </c>
      <c r="D25" s="37"/>
      <c r="E25" s="105">
        <v>13</v>
      </c>
      <c r="F25" s="106" t="str">
        <f>IF(D25="","",IF(COUNTIF($D$13:D25,"")=0,VLOOKUP(D25,登!$B$4:$I$103,7,0),"１番から詰めて入力してください"))</f>
        <v/>
      </c>
      <c r="G25" s="108" t="str">
        <f>IF(D25="","",IF(VLOOKUP(D25,登!$B$4:$I$103,2,0)=登!$B$1,1,IF(VLOOKUP(D25,登!$B$4:$I$103,2,0)=登!$B$1-1,2,IF(VLOOKUP(D25,登!$B$4:$I$103,2,0)=登!$B$1-2,3,"学年ミス"))))</f>
        <v/>
      </c>
      <c r="H25" s="108" t="str">
        <f t="shared" si="0"/>
        <v/>
      </c>
      <c r="I25" s="108" t="str">
        <f>IF(D25="","",IF(VLOOKUP(D25,登!$B$4:$I$103,3,0)=1,"男","女"))</f>
        <v/>
      </c>
    </row>
    <row r="26" spans="2:9" ht="12.75" customHeight="1">
      <c r="B26" s="104"/>
      <c r="C26" s="105" t="str">
        <f>IF(D26="","",登!$F$1)</f>
        <v/>
      </c>
      <c r="D26" s="37"/>
      <c r="E26" s="105">
        <v>14</v>
      </c>
      <c r="F26" s="106" t="str">
        <f>IF(D26="","",IF(COUNTIF($D$13:D26,"")=0,VLOOKUP(D26,登!$B$4:$I$103,7,0),"１番から詰めて入力してください"))</f>
        <v/>
      </c>
      <c r="G26" s="108" t="str">
        <f>IF(D26="","",IF(VLOOKUP(D26,登!$B$4:$I$103,2,0)=登!$B$1,1,IF(VLOOKUP(D26,登!$B$4:$I$103,2,0)=登!$B$1-1,2,IF(VLOOKUP(D26,登!$B$4:$I$103,2,0)=登!$B$1-2,3,"学年ミス"))))</f>
        <v/>
      </c>
      <c r="H26" s="108" t="str">
        <f t="shared" si="0"/>
        <v/>
      </c>
      <c r="I26" s="108" t="str">
        <f>IF(D26="","",IF(VLOOKUP(D26,登!$B$4:$I$103,3,0)=1,"男","女"))</f>
        <v/>
      </c>
    </row>
    <row r="27" spans="2:9" ht="12.75" customHeight="1">
      <c r="B27" s="104"/>
      <c r="C27" s="105" t="str">
        <f>IF(D27="","",登!$F$1)</f>
        <v/>
      </c>
      <c r="D27" s="37"/>
      <c r="E27" s="105">
        <v>15</v>
      </c>
      <c r="F27" s="106" t="str">
        <f>IF(D27="","",IF(COUNTIF($D$13:D27,"")=0,VLOOKUP(D27,登!$B$4:$I$103,7,0),"１番から詰めて入力してください"))</f>
        <v/>
      </c>
      <c r="G27" s="108" t="str">
        <f>IF(D27="","",IF(VLOOKUP(D27,登!$B$4:$I$103,2,0)=登!$B$1,1,IF(VLOOKUP(D27,登!$B$4:$I$103,2,0)=登!$B$1-1,2,IF(VLOOKUP(D27,登!$B$4:$I$103,2,0)=登!$B$1-2,3,"学年ミス"))))</f>
        <v/>
      </c>
      <c r="H27" s="108" t="str">
        <f t="shared" si="0"/>
        <v/>
      </c>
      <c r="I27" s="108" t="str">
        <f>IF(D27="","",IF(VLOOKUP(D27,登!$B$4:$I$103,3,0)=1,"男","女"))</f>
        <v/>
      </c>
    </row>
    <row r="28" spans="2:9" ht="12.75" customHeight="1">
      <c r="B28" s="104"/>
      <c r="C28" s="105" t="str">
        <f>IF(D28="","",登!$F$1)</f>
        <v/>
      </c>
      <c r="D28" s="37"/>
      <c r="E28" s="105">
        <v>16</v>
      </c>
      <c r="F28" s="106" t="str">
        <f>IF(D28="","",IF(COUNTIF($D$13:D28,"")=0,VLOOKUP(D28,登!$B$4:$I$103,7,0),"１番から詰めて入力してください"))</f>
        <v/>
      </c>
      <c r="G28" s="108" t="str">
        <f>IF(D28="","",IF(VLOOKUP(D28,登!$B$4:$I$103,2,0)=登!$B$1,1,IF(VLOOKUP(D28,登!$B$4:$I$103,2,0)=登!$B$1-1,2,IF(VLOOKUP(D28,登!$B$4:$I$103,2,0)=登!$B$1-2,3,"学年ミス"))))</f>
        <v/>
      </c>
      <c r="H28" s="108" t="str">
        <f t="shared" si="0"/>
        <v/>
      </c>
      <c r="I28" s="108" t="str">
        <f>IF(D28="","",IF(VLOOKUP(D28,登!$B$4:$I$103,3,0)=1,"男","女"))</f>
        <v/>
      </c>
    </row>
    <row r="29" spans="2:9" ht="12.75" customHeight="1">
      <c r="B29" s="104"/>
      <c r="C29" s="105" t="str">
        <f>IF(D29="","",登!$F$1)</f>
        <v/>
      </c>
      <c r="D29" s="37"/>
      <c r="E29" s="105">
        <v>17</v>
      </c>
      <c r="F29" s="106" t="str">
        <f>IF(D29="","",IF(COUNTIF($D$13:D29,"")=0,VLOOKUP(D29,登!$B$4:$I$103,7,0),"１番から詰めて入力してください"))</f>
        <v/>
      </c>
      <c r="G29" s="108" t="str">
        <f>IF(D29="","",IF(VLOOKUP(D29,登!$B$4:$I$103,2,0)=登!$B$1,1,IF(VLOOKUP(D29,登!$B$4:$I$103,2,0)=登!$B$1-1,2,IF(VLOOKUP(D29,登!$B$4:$I$103,2,0)=登!$B$1-2,3,"学年ミス"))))</f>
        <v/>
      </c>
      <c r="H29" s="108" t="str">
        <f t="shared" si="0"/>
        <v/>
      </c>
      <c r="I29" s="108" t="str">
        <f>IF(D29="","",IF(VLOOKUP(D29,登!$B$4:$I$103,3,0)=1,"男","女"))</f>
        <v/>
      </c>
    </row>
    <row r="30" spans="2:9" ht="12.75" customHeight="1">
      <c r="B30" s="104"/>
      <c r="C30" s="105" t="str">
        <f>IF(D30="","",登!$F$1)</f>
        <v/>
      </c>
      <c r="D30" s="37"/>
      <c r="E30" s="105">
        <v>18</v>
      </c>
      <c r="F30" s="106" t="str">
        <f>IF(D30="","",IF(COUNTIF($D$13:D30,"")=0,VLOOKUP(D30,登!$B$4:$I$103,7,0),"１番から詰めて入力してください"))</f>
        <v/>
      </c>
      <c r="G30" s="108" t="str">
        <f>IF(D30="","",IF(VLOOKUP(D30,登!$B$4:$I$103,2,0)=登!$B$1,1,IF(VLOOKUP(D30,登!$B$4:$I$103,2,0)=登!$B$1-1,2,IF(VLOOKUP(D30,登!$B$4:$I$103,2,0)=登!$B$1-2,3,"学年ミス"))))</f>
        <v/>
      </c>
      <c r="H30" s="108" t="str">
        <f t="shared" si="0"/>
        <v/>
      </c>
      <c r="I30" s="108" t="str">
        <f>IF(D30="","",IF(VLOOKUP(D30,登!$B$4:$I$103,3,0)=1,"男","女"))</f>
        <v/>
      </c>
    </row>
    <row r="31" spans="2:9" ht="12.75" customHeight="1">
      <c r="B31" s="104"/>
      <c r="C31" s="105" t="str">
        <f>IF(D31="","",登!$F$1)</f>
        <v/>
      </c>
      <c r="D31" s="37"/>
      <c r="E31" s="105">
        <v>19</v>
      </c>
      <c r="F31" s="106" t="str">
        <f>IF(D31="","",IF(COUNTIF($D$13:D31,"")=0,VLOOKUP(D31,登!$B$4:$I$103,7,0),"１番から詰めて入力してください"))</f>
        <v/>
      </c>
      <c r="G31" s="108" t="str">
        <f>IF(D31="","",IF(VLOOKUP(D31,登!$B$4:$I$103,2,0)=登!$B$1,1,IF(VLOOKUP(D31,登!$B$4:$I$103,2,0)=登!$B$1-1,2,IF(VLOOKUP(D31,登!$B$4:$I$103,2,0)=登!$B$1-2,3,"学年ミス"))))</f>
        <v/>
      </c>
      <c r="H31" s="108" t="str">
        <f t="shared" si="0"/>
        <v/>
      </c>
      <c r="I31" s="108" t="str">
        <f>IF(D31="","",IF(VLOOKUP(D31,登!$B$4:$I$103,3,0)=1,"男","女"))</f>
        <v/>
      </c>
    </row>
    <row r="32" spans="2:9" ht="12.75" customHeight="1">
      <c r="B32" s="104"/>
      <c r="C32" s="105" t="str">
        <f>IF(D32="","",登!$F$1)</f>
        <v/>
      </c>
      <c r="D32" s="37"/>
      <c r="E32" s="105">
        <v>20</v>
      </c>
      <c r="F32" s="106" t="str">
        <f>IF(D32="","",IF(COUNTIF($D$13:D32,"")=0,VLOOKUP(D32,登!$B$4:$I$103,7,0),"１番から詰めて入力してください"))</f>
        <v/>
      </c>
      <c r="G32" s="108" t="str">
        <f>IF(D32="","",IF(VLOOKUP(D32,登!$B$4:$I$103,2,0)=登!$B$1,1,IF(VLOOKUP(D32,登!$B$4:$I$103,2,0)=登!$B$1-1,2,IF(VLOOKUP(D32,登!$B$4:$I$103,2,0)=登!$B$1-2,3,"学年ミス"))))</f>
        <v/>
      </c>
      <c r="H32" s="108" t="str">
        <f t="shared" si="0"/>
        <v/>
      </c>
      <c r="I32" s="108" t="str">
        <f>IF(D32="","",IF(VLOOKUP(D32,登!$B$4:$I$103,3,0)=1,"男","女"))</f>
        <v/>
      </c>
    </row>
    <row r="33" spans="2:9" ht="12.75" customHeight="1">
      <c r="B33" s="104"/>
      <c r="C33" s="105" t="str">
        <f>IF(D33="","",登!$F$1)</f>
        <v/>
      </c>
      <c r="D33" s="37"/>
      <c r="E33" s="105">
        <v>21</v>
      </c>
      <c r="F33" s="106" t="str">
        <f>IF(D33="","",IF(COUNTIF($D$13:D33,"")=0,VLOOKUP(D33,登!$B$4:$I$103,7,0),"１番から詰めて入力してください"))</f>
        <v/>
      </c>
      <c r="G33" s="108" t="str">
        <f>IF(D33="","",IF(VLOOKUP(D33,登!$B$4:$I$103,2,0)=登!$B$1,1,IF(VLOOKUP(D33,登!$B$4:$I$103,2,0)=登!$B$1-1,2,IF(VLOOKUP(D33,登!$B$4:$I$103,2,0)=登!$B$1-2,3,"学年ミス"))))</f>
        <v/>
      </c>
      <c r="H33" s="108" t="str">
        <f t="shared" si="0"/>
        <v/>
      </c>
      <c r="I33" s="108" t="str">
        <f>IF(D33="","",IF(VLOOKUP(D33,登!$B$4:$I$103,3,0)=1,"男","女"))</f>
        <v/>
      </c>
    </row>
    <row r="34" spans="2:9" ht="12.75" customHeight="1">
      <c r="B34" s="104"/>
      <c r="C34" s="105" t="str">
        <f>IF(D34="","",登!$F$1)</f>
        <v/>
      </c>
      <c r="D34" s="37"/>
      <c r="E34" s="105">
        <v>22</v>
      </c>
      <c r="F34" s="106" t="str">
        <f>IF(D34="","",IF(COUNTIF($D$13:D34,"")=0,VLOOKUP(D34,登!$B$4:$I$103,7,0),"１番から詰めて入力してください"))</f>
        <v/>
      </c>
      <c r="G34" s="108" t="str">
        <f>IF(D34="","",IF(VLOOKUP(D34,登!$B$4:$I$103,2,0)=登!$B$1,1,IF(VLOOKUP(D34,登!$B$4:$I$103,2,0)=登!$B$1-1,2,IF(VLOOKUP(D34,登!$B$4:$I$103,2,0)=登!$B$1-2,3,"学年ミス"))))</f>
        <v/>
      </c>
      <c r="H34" s="108" t="str">
        <f t="shared" si="0"/>
        <v/>
      </c>
      <c r="I34" s="108" t="str">
        <f>IF(D34="","",IF(VLOOKUP(D34,登!$B$4:$I$103,3,0)=1,"男","女"))</f>
        <v/>
      </c>
    </row>
    <row r="35" spans="2:9" ht="12.75" customHeight="1">
      <c r="B35" s="104"/>
      <c r="C35" s="105" t="str">
        <f>IF(D35="","",登!$F$1)</f>
        <v/>
      </c>
      <c r="D35" s="37"/>
      <c r="E35" s="105">
        <v>23</v>
      </c>
      <c r="F35" s="106" t="str">
        <f>IF(D35="","",IF(COUNTIF($D$13:D35,"")=0,VLOOKUP(D35,登!$B$4:$I$103,7,0),"１番から詰めて入力してください"))</f>
        <v/>
      </c>
      <c r="G35" s="108" t="str">
        <f>IF(D35="","",IF(VLOOKUP(D35,登!$B$4:$I$103,2,0)=登!$B$1,1,IF(VLOOKUP(D35,登!$B$4:$I$103,2,0)=登!$B$1-1,2,IF(VLOOKUP(D35,登!$B$4:$I$103,2,0)=登!$B$1-2,3,"学年ミス"))))</f>
        <v/>
      </c>
      <c r="H35" s="108" t="str">
        <f t="shared" si="0"/>
        <v/>
      </c>
      <c r="I35" s="108" t="str">
        <f>IF(D35="","",IF(VLOOKUP(D35,登!$B$4:$I$103,3,0)=1,"男","女"))</f>
        <v/>
      </c>
    </row>
    <row r="36" spans="2:9" ht="12.75" customHeight="1">
      <c r="B36" s="104"/>
      <c r="C36" s="105" t="str">
        <f>IF(D36="","",登!$F$1)</f>
        <v/>
      </c>
      <c r="D36" s="37"/>
      <c r="E36" s="105">
        <v>24</v>
      </c>
      <c r="F36" s="106" t="str">
        <f>IF(D36="","",IF(COUNTIF($D$13:D36,"")=0,VLOOKUP(D36,登!$B$4:$I$103,7,0),"１番から詰めて入力してください"))</f>
        <v/>
      </c>
      <c r="G36" s="108" t="str">
        <f>IF(D36="","",IF(VLOOKUP(D36,登!$B$4:$I$103,2,0)=登!$B$1,1,IF(VLOOKUP(D36,登!$B$4:$I$103,2,0)=登!$B$1-1,2,IF(VLOOKUP(D36,登!$B$4:$I$103,2,0)=登!$B$1-2,3,"学年ミス"))))</f>
        <v/>
      </c>
      <c r="H36" s="108" t="str">
        <f t="shared" si="0"/>
        <v/>
      </c>
      <c r="I36" s="108" t="str">
        <f>IF(D36="","",IF(VLOOKUP(D36,登!$B$4:$I$103,3,0)=1,"男","女"))</f>
        <v/>
      </c>
    </row>
    <row r="37" spans="2:9" ht="12.75" customHeight="1">
      <c r="B37" s="104"/>
      <c r="C37" s="105" t="str">
        <f>IF(D37="","",登!$F$1)</f>
        <v/>
      </c>
      <c r="D37" s="37"/>
      <c r="E37" s="105">
        <v>25</v>
      </c>
      <c r="F37" s="106" t="str">
        <f>IF(D37="","",IF(COUNTIF($D$13:D37,"")=0,VLOOKUP(D37,登!$B$4:$I$103,7,0),"１番から詰めて入力してください"))</f>
        <v/>
      </c>
      <c r="G37" s="108" t="str">
        <f>IF(D37="","",IF(VLOOKUP(D37,登!$B$4:$I$103,2,0)=登!$B$1,1,IF(VLOOKUP(D37,登!$B$4:$I$103,2,0)=登!$B$1-1,2,IF(VLOOKUP(D37,登!$B$4:$I$103,2,0)=登!$B$1-2,3,"学年ミス"))))</f>
        <v/>
      </c>
      <c r="H37" s="108" t="str">
        <f t="shared" si="0"/>
        <v/>
      </c>
      <c r="I37" s="108" t="str">
        <f>IF(D37="","",IF(VLOOKUP(D37,登!$B$4:$I$103,3,0)=1,"男","女"))</f>
        <v/>
      </c>
    </row>
    <row r="38" spans="2:9" ht="12.75" customHeight="1">
      <c r="B38" s="104"/>
      <c r="C38" s="105" t="str">
        <f>IF(D38="","",登!$F$1)</f>
        <v/>
      </c>
      <c r="D38" s="37"/>
      <c r="E38" s="105">
        <v>26</v>
      </c>
      <c r="F38" s="106" t="str">
        <f>IF(D38="","",IF(COUNTIF($D$13:D38,"")=0,VLOOKUP(D38,登!$B$4:$I$103,7,0),"１番から詰めて入力してください"))</f>
        <v/>
      </c>
      <c r="G38" s="108" t="str">
        <f>IF(D38="","",IF(VLOOKUP(D38,登!$B$4:$I$103,2,0)=登!$B$1,1,IF(VLOOKUP(D38,登!$B$4:$I$103,2,0)=登!$B$1-1,2,IF(VLOOKUP(D38,登!$B$4:$I$103,2,0)=登!$B$1-2,3,"学年ミス"))))</f>
        <v/>
      </c>
      <c r="H38" s="108" t="str">
        <f t="shared" si="0"/>
        <v/>
      </c>
      <c r="I38" s="108" t="str">
        <f>IF(D38="","",IF(VLOOKUP(D38,登!$B$4:$I$103,3,0)=1,"男","女"))</f>
        <v/>
      </c>
    </row>
    <row r="39" spans="2:9" ht="12.75" customHeight="1">
      <c r="B39" s="104"/>
      <c r="C39" s="105" t="str">
        <f>IF(D39="","",登!$F$1)</f>
        <v/>
      </c>
      <c r="D39" s="37"/>
      <c r="E39" s="105">
        <v>27</v>
      </c>
      <c r="F39" s="106" t="str">
        <f>IF(D39="","",IF(COUNTIF($D$13:D39,"")=0,VLOOKUP(D39,登!$B$4:$I$103,7,0),"１番から詰めて入力してください"))</f>
        <v/>
      </c>
      <c r="G39" s="108" t="str">
        <f>IF(D39="","",IF(VLOOKUP(D39,登!$B$4:$I$103,2,0)=登!$B$1,1,IF(VLOOKUP(D39,登!$B$4:$I$103,2,0)=登!$B$1-1,2,IF(VLOOKUP(D39,登!$B$4:$I$103,2,0)=登!$B$1-2,3,"学年ミス"))))</f>
        <v/>
      </c>
      <c r="H39" s="108" t="str">
        <f t="shared" si="0"/>
        <v/>
      </c>
      <c r="I39" s="108" t="str">
        <f>IF(D39="","",IF(VLOOKUP(D39,登!$B$4:$I$103,3,0)=1,"男","女"))</f>
        <v/>
      </c>
    </row>
    <row r="40" spans="2:9" ht="12.75" customHeight="1">
      <c r="B40" s="104"/>
      <c r="C40" s="105" t="str">
        <f>IF(D40="","",登!$F$1)</f>
        <v/>
      </c>
      <c r="D40" s="37"/>
      <c r="E40" s="105">
        <v>28</v>
      </c>
      <c r="F40" s="106" t="str">
        <f>IF(D40="","",IF(COUNTIF($D$13:D40,"")=0,VLOOKUP(D40,登!$B$4:$I$103,7,0),"１番から詰めて入力してください"))</f>
        <v/>
      </c>
      <c r="G40" s="108" t="str">
        <f>IF(D40="","",IF(VLOOKUP(D40,登!$B$4:$I$103,2,0)=登!$B$1,1,IF(VLOOKUP(D40,登!$B$4:$I$103,2,0)=登!$B$1-1,2,IF(VLOOKUP(D40,登!$B$4:$I$103,2,0)=登!$B$1-2,3,"学年ミス"))))</f>
        <v/>
      </c>
      <c r="H40" s="108" t="str">
        <f t="shared" si="0"/>
        <v/>
      </c>
      <c r="I40" s="108" t="str">
        <f>IF(D40="","",IF(VLOOKUP(D40,登!$B$4:$I$103,3,0)=1,"男","女"))</f>
        <v/>
      </c>
    </row>
    <row r="41" spans="2:9" ht="12.75" customHeight="1">
      <c r="B41" s="104"/>
      <c r="C41" s="105" t="str">
        <f>IF(D41="","",登!$F$1)</f>
        <v/>
      </c>
      <c r="D41" s="37"/>
      <c r="E41" s="105">
        <v>29</v>
      </c>
      <c r="F41" s="106" t="str">
        <f>IF(D41="","",IF(COUNTIF($D$13:D41,"")=0,VLOOKUP(D41,登!$B$4:$I$103,7,0),"１番から詰めて入力してください"))</f>
        <v/>
      </c>
      <c r="G41" s="108" t="str">
        <f>IF(D41="","",IF(VLOOKUP(D41,登!$B$4:$I$103,2,0)=登!$B$1,1,IF(VLOOKUP(D41,登!$B$4:$I$103,2,0)=登!$B$1-1,2,IF(VLOOKUP(D41,登!$B$4:$I$103,2,0)=登!$B$1-2,3,"学年ミス"))))</f>
        <v/>
      </c>
      <c r="H41" s="108" t="str">
        <f t="shared" si="0"/>
        <v/>
      </c>
      <c r="I41" s="108" t="str">
        <f>IF(D41="","",IF(VLOOKUP(D41,登!$B$4:$I$103,3,0)=1,"男","女"))</f>
        <v/>
      </c>
    </row>
    <row r="42" spans="2:9" ht="12.75" customHeight="1">
      <c r="B42" s="104"/>
      <c r="C42" s="105" t="str">
        <f>IF(D42="","",登!$F$1)</f>
        <v/>
      </c>
      <c r="D42" s="37"/>
      <c r="E42" s="105">
        <v>30</v>
      </c>
      <c r="F42" s="106" t="str">
        <f>IF(D42="","",IF(COUNTIF($D$13:D42,"")=0,VLOOKUP(D42,登!$B$4:$I$103,7,0),"１番から詰めて入力してください"))</f>
        <v/>
      </c>
      <c r="G42" s="108" t="str">
        <f>IF(D42="","",IF(VLOOKUP(D42,登!$B$4:$I$103,2,0)=登!$B$1,1,IF(VLOOKUP(D42,登!$B$4:$I$103,2,0)=登!$B$1-1,2,IF(VLOOKUP(D42,登!$B$4:$I$103,2,0)=登!$B$1-2,3,"学年ミス"))))</f>
        <v/>
      </c>
      <c r="H42" s="108" t="str">
        <f t="shared" si="0"/>
        <v/>
      </c>
      <c r="I42" s="108" t="str">
        <f>IF(D42="","",IF(VLOOKUP(D42,登!$B$4:$I$103,3,0)=1,"男","女"))</f>
        <v/>
      </c>
    </row>
    <row r="43" spans="2:9" ht="12.75" customHeight="1">
      <c r="B43" s="104"/>
      <c r="C43" s="105" t="str">
        <f>IF(D43="","",登!$F$1)</f>
        <v/>
      </c>
      <c r="D43" s="37"/>
      <c r="E43" s="105">
        <v>31</v>
      </c>
      <c r="F43" s="106" t="str">
        <f>IF(D43="","",IF(COUNTIF($D$13:D43,"")=0,VLOOKUP(D43,登!$B$4:$I$103,7,0),"１番から詰めて入力してください"))</f>
        <v/>
      </c>
      <c r="G43" s="108" t="str">
        <f>IF(D43="","",IF(VLOOKUP(D43,登!$B$4:$I$103,2,0)=登!$B$1,1,IF(VLOOKUP(D43,登!$B$4:$I$103,2,0)=登!$B$1-1,2,IF(VLOOKUP(D43,登!$B$4:$I$103,2,0)=登!$B$1-2,3,"学年ミス"))))</f>
        <v/>
      </c>
      <c r="H43" s="108" t="str">
        <f t="shared" si="0"/>
        <v/>
      </c>
      <c r="I43" s="108" t="str">
        <f>IF(D43="","",IF(VLOOKUP(D43,登!$B$4:$I$103,3,0)=1,"男","女"))</f>
        <v/>
      </c>
    </row>
    <row r="44" spans="2:9" ht="12.75" customHeight="1">
      <c r="B44" s="104"/>
      <c r="C44" s="105" t="str">
        <f>IF(D44="","",登!$F$1)</f>
        <v/>
      </c>
      <c r="D44" s="37"/>
      <c r="E44" s="105">
        <v>32</v>
      </c>
      <c r="F44" s="106" t="str">
        <f>IF(D44="","",IF(COUNTIF($D$13:D44,"")=0,VLOOKUP(D44,登!$B$4:$I$103,7,0),"１番から詰めて入力してください"))</f>
        <v/>
      </c>
      <c r="G44" s="108" t="str">
        <f>IF(D44="","",IF(VLOOKUP(D44,登!$B$4:$I$103,2,0)=登!$B$1,1,IF(VLOOKUP(D44,登!$B$4:$I$103,2,0)=登!$B$1-1,2,IF(VLOOKUP(D44,登!$B$4:$I$103,2,0)=登!$B$1-2,3,"学年ミス"))))</f>
        <v/>
      </c>
      <c r="H44" s="108" t="str">
        <f t="shared" si="0"/>
        <v/>
      </c>
      <c r="I44" s="108" t="str">
        <f>IF(D44="","",IF(VLOOKUP(D44,登!$B$4:$I$103,3,0)=1,"男","女"))</f>
        <v/>
      </c>
    </row>
    <row r="45" spans="2:9" ht="12.75" customHeight="1">
      <c r="B45" s="104"/>
      <c r="C45" s="105" t="str">
        <f>IF(D45="","",登!$F$1)</f>
        <v/>
      </c>
      <c r="D45" s="37"/>
      <c r="E45" s="105">
        <v>33</v>
      </c>
      <c r="F45" s="106" t="str">
        <f>IF(D45="","",IF(COUNTIF($D$13:D45,"")=0,VLOOKUP(D45,登!$B$4:$I$103,7,0),"１番から詰めて入力してください"))</f>
        <v/>
      </c>
      <c r="G45" s="108" t="str">
        <f>IF(D45="","",IF(VLOOKUP(D45,登!$B$4:$I$103,2,0)=登!$B$1,1,IF(VLOOKUP(D45,登!$B$4:$I$103,2,0)=登!$B$1-1,2,IF(VLOOKUP(D45,登!$B$4:$I$103,2,0)=登!$B$1-2,3,"学年ミス"))))</f>
        <v/>
      </c>
      <c r="H45" s="108" t="str">
        <f t="shared" si="0"/>
        <v/>
      </c>
      <c r="I45" s="108" t="str">
        <f>IF(D45="","",IF(VLOOKUP(D45,登!$B$4:$I$103,3,0)=1,"男","女"))</f>
        <v/>
      </c>
    </row>
    <row r="46" spans="2:9" ht="12.75" customHeight="1">
      <c r="B46" s="104"/>
      <c r="C46" s="105" t="str">
        <f>IF(D46="","",登!$F$1)</f>
        <v/>
      </c>
      <c r="D46" s="37"/>
      <c r="E46" s="105">
        <v>34</v>
      </c>
      <c r="F46" s="106" t="str">
        <f>IF(D46="","",IF(COUNTIF($D$13:D46,"")=0,VLOOKUP(D46,登!$B$4:$I$103,7,0),"１番から詰めて入力してください"))</f>
        <v/>
      </c>
      <c r="G46" s="108" t="str">
        <f>IF(D46="","",IF(VLOOKUP(D46,登!$B$4:$I$103,2,0)=登!$B$1,1,IF(VLOOKUP(D46,登!$B$4:$I$103,2,0)=登!$B$1-1,2,IF(VLOOKUP(D46,登!$B$4:$I$103,2,0)=登!$B$1-2,3,"学年ミス"))))</f>
        <v/>
      </c>
      <c r="H46" s="108" t="str">
        <f t="shared" si="0"/>
        <v/>
      </c>
      <c r="I46" s="108" t="str">
        <f>IF(D46="","",IF(VLOOKUP(D46,登!$B$4:$I$103,3,0)=1,"男","女"))</f>
        <v/>
      </c>
    </row>
    <row r="47" spans="2:9" ht="12.75" customHeight="1">
      <c r="B47" s="104"/>
      <c r="C47" s="105" t="str">
        <f>IF(D47="","",登!$F$1)</f>
        <v/>
      </c>
      <c r="D47" s="37"/>
      <c r="E47" s="105">
        <v>35</v>
      </c>
      <c r="F47" s="106" t="str">
        <f>IF(D47="","",IF(COUNTIF($D$13:D47,"")=0,VLOOKUP(D47,登!$B$4:$I$103,7,0),"１番から詰めて入力してください"))</f>
        <v/>
      </c>
      <c r="G47" s="108" t="str">
        <f>IF(D47="","",IF(VLOOKUP(D47,登!$B$4:$I$103,2,0)=登!$B$1,1,IF(VLOOKUP(D47,登!$B$4:$I$103,2,0)=登!$B$1-1,2,IF(VLOOKUP(D47,登!$B$4:$I$103,2,0)=登!$B$1-2,3,"学年ミス"))))</f>
        <v/>
      </c>
      <c r="H47" s="108" t="str">
        <f t="shared" si="0"/>
        <v/>
      </c>
      <c r="I47" s="108" t="str">
        <f>IF(D47="","",IF(VLOOKUP(D47,登!$B$4:$I$103,3,0)=1,"男","女"))</f>
        <v/>
      </c>
    </row>
    <row r="48" spans="2:9" ht="12.75" customHeight="1">
      <c r="B48" s="104"/>
      <c r="C48" s="105" t="str">
        <f>IF(D48="","",登!$F$1)</f>
        <v/>
      </c>
      <c r="D48" s="37"/>
      <c r="E48" s="105">
        <v>36</v>
      </c>
      <c r="F48" s="106" t="str">
        <f>IF(D48="","",IF(COUNTIF($D$13:D48,"")=0,VLOOKUP(D48,登!$B$4:$I$103,7,0),"１番から詰めて入力してください"))</f>
        <v/>
      </c>
      <c r="G48" s="108" t="str">
        <f>IF(D48="","",IF(VLOOKUP(D48,登!$B$4:$I$103,2,0)=登!$B$1,1,IF(VLOOKUP(D48,登!$B$4:$I$103,2,0)=登!$B$1-1,2,IF(VLOOKUP(D48,登!$B$4:$I$103,2,0)=登!$B$1-2,3,"学年ミス"))))</f>
        <v/>
      </c>
      <c r="H48" s="108" t="str">
        <f t="shared" si="0"/>
        <v/>
      </c>
      <c r="I48" s="108" t="str">
        <f>IF(D48="","",IF(VLOOKUP(D48,登!$B$4:$I$103,3,0)=1,"男","女"))</f>
        <v/>
      </c>
    </row>
    <row r="49" spans="2:9" ht="12.75" customHeight="1">
      <c r="B49" s="104"/>
      <c r="C49" s="105" t="str">
        <f>IF(D49="","",登!$F$1)</f>
        <v/>
      </c>
      <c r="D49" s="37"/>
      <c r="E49" s="105">
        <v>37</v>
      </c>
      <c r="F49" s="106" t="str">
        <f>IF(D49="","",IF(COUNTIF($D$13:D49,"")=0,VLOOKUP(D49,登!$B$4:$I$103,7,0),"１番から詰めて入力してください"))</f>
        <v/>
      </c>
      <c r="G49" s="108" t="str">
        <f>IF(D49="","",IF(VLOOKUP(D49,登!$B$4:$I$103,2,0)=登!$B$1,1,IF(VLOOKUP(D49,登!$B$4:$I$103,2,0)=登!$B$1-1,2,IF(VLOOKUP(D49,登!$B$4:$I$103,2,0)=登!$B$1-2,3,"学年ミス"))))</f>
        <v/>
      </c>
      <c r="H49" s="108" t="str">
        <f t="shared" si="0"/>
        <v/>
      </c>
      <c r="I49" s="108" t="str">
        <f>IF(D49="","",IF(VLOOKUP(D49,登!$B$4:$I$103,3,0)=1,"男","女"))</f>
        <v/>
      </c>
    </row>
    <row r="50" spans="2:9" ht="12.75" customHeight="1">
      <c r="B50" s="104"/>
      <c r="C50" s="105" t="str">
        <f>IF(D50="","",登!$F$1)</f>
        <v/>
      </c>
      <c r="D50" s="37"/>
      <c r="E50" s="105">
        <v>38</v>
      </c>
      <c r="F50" s="106" t="str">
        <f>IF(D50="","",IF(COUNTIF($D$13:D50,"")=0,VLOOKUP(D50,登!$B$4:$I$103,7,0),"１番から詰めて入力してください"))</f>
        <v/>
      </c>
      <c r="G50" s="108" t="str">
        <f>IF(D50="","",IF(VLOOKUP(D50,登!$B$4:$I$103,2,0)=登!$B$1,1,IF(VLOOKUP(D50,登!$B$4:$I$103,2,0)=登!$B$1-1,2,IF(VLOOKUP(D50,登!$B$4:$I$103,2,0)=登!$B$1-2,3,"学年ミス"))))</f>
        <v/>
      </c>
      <c r="H50" s="108" t="str">
        <f t="shared" si="0"/>
        <v/>
      </c>
      <c r="I50" s="108" t="str">
        <f>IF(D50="","",IF(VLOOKUP(D50,登!$B$4:$I$103,3,0)=1,"男","女"))</f>
        <v/>
      </c>
    </row>
    <row r="51" spans="2:9" ht="12.75" customHeight="1">
      <c r="B51" s="104"/>
      <c r="C51" s="105" t="str">
        <f>IF(D51="","",登!$F$1)</f>
        <v/>
      </c>
      <c r="D51" s="37"/>
      <c r="E51" s="105">
        <v>39</v>
      </c>
      <c r="F51" s="106" t="str">
        <f>IF(D51="","",IF(COUNTIF($D$13:D51,"")=0,VLOOKUP(D51,登!$B$4:$I$103,7,0),"１番から詰めて入力してください"))</f>
        <v/>
      </c>
      <c r="G51" s="108" t="str">
        <f>IF(D51="","",IF(VLOOKUP(D51,登!$B$4:$I$103,2,0)=登!$B$1,1,IF(VLOOKUP(D51,登!$B$4:$I$103,2,0)=登!$B$1-1,2,IF(VLOOKUP(D51,登!$B$4:$I$103,2,0)=登!$B$1-2,3,"学年ミス"))))</f>
        <v/>
      </c>
      <c r="H51" s="108" t="str">
        <f t="shared" si="0"/>
        <v/>
      </c>
      <c r="I51" s="108" t="str">
        <f>IF(D51="","",IF(VLOOKUP(D51,登!$B$4:$I$103,3,0)=1,"男","女"))</f>
        <v/>
      </c>
    </row>
    <row r="52" spans="2:9" ht="12.75" customHeight="1">
      <c r="B52" s="104"/>
      <c r="C52" s="105" t="str">
        <f>IF(D52="","",登!$F$1)</f>
        <v/>
      </c>
      <c r="D52" s="37"/>
      <c r="E52" s="105">
        <v>40</v>
      </c>
      <c r="F52" s="106" t="str">
        <f>IF(D52="","",IF(COUNTIF($D$13:D52,"")=0,VLOOKUP(D52,登!$B$4:$I$103,7,0),"１番から詰めて入力してください"))</f>
        <v/>
      </c>
      <c r="G52" s="108" t="str">
        <f>IF(D52="","",IF(VLOOKUP(D52,登!$B$4:$I$103,2,0)=登!$B$1,1,IF(VLOOKUP(D52,登!$B$4:$I$103,2,0)=登!$B$1-1,2,IF(VLOOKUP(D52,登!$B$4:$I$103,2,0)=登!$B$1-2,3,"学年ミス"))))</f>
        <v/>
      </c>
      <c r="H52" s="108" t="str">
        <f t="shared" si="0"/>
        <v/>
      </c>
      <c r="I52" s="108" t="str">
        <f>IF(D52="","",IF(VLOOKUP(D52,登!$B$4:$I$103,3,0)=1,"男","女"))</f>
        <v/>
      </c>
    </row>
    <row r="53" spans="2:9" ht="12.75" customHeight="1">
      <c r="B53" s="104"/>
      <c r="C53" s="105" t="str">
        <f>IF(D53="","",登!$F$1)</f>
        <v/>
      </c>
      <c r="D53" s="37"/>
      <c r="E53" s="105">
        <v>41</v>
      </c>
      <c r="F53" s="106" t="str">
        <f>IF(D53="","",IF(COUNTIF($D$13:D53,"")=0,VLOOKUP(D53,登!$B$4:$I$103,7,0),"１番から詰めて入力してください"))</f>
        <v/>
      </c>
      <c r="G53" s="108" t="str">
        <f>IF(D53="","",IF(VLOOKUP(D53,登!$B$4:$I$103,2,0)=登!$B$1,1,IF(VLOOKUP(D53,登!$B$4:$I$103,2,0)=登!$B$1-1,2,IF(VLOOKUP(D53,登!$B$4:$I$103,2,0)=登!$B$1-2,3,"学年ミス"))))</f>
        <v/>
      </c>
      <c r="H53" s="108" t="str">
        <f t="shared" si="0"/>
        <v/>
      </c>
      <c r="I53" s="108" t="str">
        <f>IF(D53="","",IF(VLOOKUP(D53,登!$B$4:$I$103,3,0)=1,"男","女"))</f>
        <v/>
      </c>
    </row>
    <row r="54" spans="2:9" ht="12.75" customHeight="1">
      <c r="B54" s="104"/>
      <c r="C54" s="105" t="str">
        <f>IF(D54="","",登!$F$1)</f>
        <v/>
      </c>
      <c r="D54" s="37"/>
      <c r="E54" s="105">
        <v>42</v>
      </c>
      <c r="F54" s="106" t="str">
        <f>IF(D54="","",IF(COUNTIF($D$13:D54,"")=0,VLOOKUP(D54,登!$B$4:$I$103,7,0),"１番から詰めて入力してください"))</f>
        <v/>
      </c>
      <c r="G54" s="108" t="str">
        <f>IF(D54="","",IF(VLOOKUP(D54,登!$B$4:$I$103,2,0)=登!$B$1,1,IF(VLOOKUP(D54,登!$B$4:$I$103,2,0)=登!$B$1-1,2,IF(VLOOKUP(D54,登!$B$4:$I$103,2,0)=登!$B$1-2,3,"学年ミス"))))</f>
        <v/>
      </c>
      <c r="H54" s="108" t="str">
        <f t="shared" si="0"/>
        <v/>
      </c>
      <c r="I54" s="108" t="str">
        <f>IF(D54="","",IF(VLOOKUP(D54,登!$B$4:$I$103,3,0)=1,"男","女"))</f>
        <v/>
      </c>
    </row>
    <row r="55" spans="2:9" ht="12.75" customHeight="1">
      <c r="B55" s="104"/>
      <c r="C55" s="105" t="str">
        <f>IF(D55="","",登!$F$1)</f>
        <v/>
      </c>
      <c r="D55" s="37"/>
      <c r="E55" s="105">
        <v>43</v>
      </c>
      <c r="F55" s="106" t="str">
        <f>IF(D55="","",IF(COUNTIF($D$13:D55,"")=0,VLOOKUP(D55,登!$B$4:$I$103,7,0),"１番から詰めて入力してください"))</f>
        <v/>
      </c>
      <c r="G55" s="108" t="str">
        <f>IF(D55="","",IF(VLOOKUP(D55,登!$B$4:$I$103,2,0)=登!$B$1,1,IF(VLOOKUP(D55,登!$B$4:$I$103,2,0)=登!$B$1-1,2,IF(VLOOKUP(D55,登!$B$4:$I$103,2,0)=登!$B$1-2,3,"学年ミス"))))</f>
        <v/>
      </c>
      <c r="H55" s="108" t="str">
        <f t="shared" si="0"/>
        <v/>
      </c>
      <c r="I55" s="108" t="str">
        <f>IF(D55="","",IF(VLOOKUP(D55,登!$B$4:$I$103,3,0)=1,"男","女"))</f>
        <v/>
      </c>
    </row>
    <row r="56" spans="2:9" ht="12.75" customHeight="1">
      <c r="B56" s="104"/>
      <c r="C56" s="105" t="str">
        <f>IF(D56="","",登!$F$1)</f>
        <v/>
      </c>
      <c r="D56" s="37"/>
      <c r="E56" s="105">
        <v>44</v>
      </c>
      <c r="F56" s="106" t="str">
        <f>IF(D56="","",IF(COUNTIF($D$13:D56,"")=0,VLOOKUP(D56,登!$B$4:$I$103,7,0),"１番から詰めて入力してください"))</f>
        <v/>
      </c>
      <c r="G56" s="108" t="str">
        <f>IF(D56="","",IF(VLOOKUP(D56,登!$B$4:$I$103,2,0)=登!$B$1,1,IF(VLOOKUP(D56,登!$B$4:$I$103,2,0)=登!$B$1-1,2,IF(VLOOKUP(D56,登!$B$4:$I$103,2,0)=登!$B$1-2,3,"学年ミス"))))</f>
        <v/>
      </c>
      <c r="H56" s="108" t="str">
        <f t="shared" si="0"/>
        <v/>
      </c>
      <c r="I56" s="108" t="str">
        <f>IF(D56="","",IF(VLOOKUP(D56,登!$B$4:$I$103,3,0)=1,"男","女"))</f>
        <v/>
      </c>
    </row>
    <row r="57" spans="2:9" ht="12.75" customHeight="1">
      <c r="B57" s="131"/>
      <c r="C57" s="132" t="str">
        <f>IF(D57="","",登!$F$1)</f>
        <v/>
      </c>
      <c r="D57" s="38"/>
      <c r="E57" s="132">
        <v>45</v>
      </c>
      <c r="F57" s="133" t="str">
        <f>IF(D57="","",IF(COUNTIF($D$13:D57,"")=0,VLOOKUP(D57,登!$B$4:$I$103,7,0),"１番から詰めて入力してください"))</f>
        <v/>
      </c>
      <c r="G57" s="296" t="str">
        <f>IF(D57="","",IF(VLOOKUP(D57,登!$B$4:$I$103,2,0)=登!$B$1,1,IF(VLOOKUP(D57,登!$B$4:$I$103,2,0)=登!$B$1-1,2,IF(VLOOKUP(D57,登!$B$4:$I$103,2,0)=登!$B$1-2,3,"学年ミス"))))</f>
        <v/>
      </c>
      <c r="H57" s="296" t="str">
        <f>IF(D57="","",IF(COUNTIF($D$13:$D$57,D57)&gt;1,"選手重複!!","OK"))</f>
        <v/>
      </c>
      <c r="I57" s="296" t="str">
        <f>IF(D57="","",IF(VLOOKUP(D57,登!$B$4:$I$103,3,0)=1,"男","女"))</f>
        <v/>
      </c>
    </row>
  </sheetData>
  <sheetProtection password="CC71" sheet="1" objects="1" scenarios="1"/>
  <mergeCells count="12">
    <mergeCell ref="L2:L3"/>
    <mergeCell ref="D4:G4"/>
    <mergeCell ref="B4:C4"/>
    <mergeCell ref="B11:G11"/>
    <mergeCell ref="B7:C7"/>
    <mergeCell ref="B8:C8"/>
    <mergeCell ref="K2:K3"/>
    <mergeCell ref="B6:C6"/>
    <mergeCell ref="C2:G2"/>
    <mergeCell ref="B9:C9"/>
    <mergeCell ref="D9:E9"/>
    <mergeCell ref="F9:G9"/>
  </mergeCells>
  <phoneticPr fontId="2"/>
  <hyperlinks>
    <hyperlink ref="F9:G9" r:id="rId1" display="gunkyumi@yahoo.co.jp"/>
  </hyperlinks>
  <printOptions horizontalCentered="1"/>
  <pageMargins left="0.39370078740157483" right="0.39370078740157483" top="0.39370078740157483" bottom="0.39370078740157483" header="0" footer="0"/>
  <pageSetup paperSize="9" orientation="portrait" horizontalDpi="300" r:id="rId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2:L15"/>
  <sheetViews>
    <sheetView zoomScaleNormal="100" workbookViewId="0"/>
  </sheetViews>
  <sheetFormatPr defaultColWidth="9" defaultRowHeight="13.5"/>
  <cols>
    <col min="1" max="3" width="6.875" style="75" customWidth="1"/>
    <col min="4" max="4" width="17.5" style="75" customWidth="1"/>
    <col min="5" max="5" width="10.875" style="75" customWidth="1"/>
    <col min="6" max="6" width="17.625" style="75" customWidth="1"/>
    <col min="7" max="7" width="10.875" style="75" customWidth="1"/>
    <col min="8" max="8" width="8.625" style="74" customWidth="1"/>
    <col min="9" max="9" width="8.625" style="75" customWidth="1"/>
    <col min="10" max="10" width="2.125" style="75" customWidth="1"/>
    <col min="11" max="16384" width="9" style="75"/>
  </cols>
  <sheetData>
    <row r="2" spans="2:12" ht="24" customHeight="1">
      <c r="B2" s="350">
        <v>1</v>
      </c>
      <c r="C2" s="424" t="str">
        <f>日!B1&amp;" 近県大会（リーダー研修会・団体対策）"</f>
        <v>令和元年度 近県大会（リーダー研修会・団体対策）</v>
      </c>
      <c r="D2" s="425"/>
      <c r="E2" s="425"/>
      <c r="F2" s="425"/>
      <c r="G2" s="426"/>
      <c r="K2" s="436" t="s">
        <v>252</v>
      </c>
      <c r="L2" s="436" t="s">
        <v>251</v>
      </c>
    </row>
    <row r="3" spans="2:12" ht="10.5" customHeight="1">
      <c r="B3" s="282"/>
      <c r="C3" s="282"/>
      <c r="D3" s="283"/>
      <c r="E3" s="283"/>
      <c r="F3" s="283"/>
      <c r="G3" s="283"/>
      <c r="I3" s="351"/>
      <c r="K3" s="436"/>
      <c r="L3" s="436"/>
    </row>
    <row r="4" spans="2:12" ht="24.75" customHeight="1">
      <c r="B4" s="436" t="s">
        <v>11</v>
      </c>
      <c r="C4" s="436"/>
      <c r="D4" s="457" t="str">
        <f>IF(K5="","",IF(LENB(K5)+LENB(L5)&gt;=14,K5&amp;L5,IF(LENB(L5)=8,IF(LENB(K5)&lt;=6,IF(LENB(K5)=2,K5&amp;"　　",IF(LENB(K5)=4,LEFT(K5,1)&amp;"　"&amp;RIGHT(K5,1),K5)),K5),IF(LENB(K5)&lt;=6,IF(LENB(K5)=2,K5&amp;"　　　",IF(LENB(K5)=4,LEFT(K5,1)&amp;"　"&amp;RIGHT(K5,1)&amp;"　",K5&amp;"　")),K5)))&amp;IF(K5="","",IF(LENB(K5)+LENB(L5)&gt;=14,"",IF(LENB(L5)=2,"　　"&amp;L5,IF(LENB(L5)=4,LEFT(L5,1)&amp;"　"&amp;RIGHT(L5,1),L5)))))</f>
        <v>○　○　○　○</v>
      </c>
      <c r="E4" s="457"/>
      <c r="F4" s="457"/>
      <c r="G4" s="457"/>
      <c r="I4" s="351"/>
      <c r="J4" s="74"/>
      <c r="K4" s="62" t="s">
        <v>542</v>
      </c>
      <c r="L4" s="62" t="s">
        <v>532</v>
      </c>
    </row>
    <row r="5" spans="2:12" ht="10.5" customHeight="1">
      <c r="B5" s="282"/>
      <c r="C5" s="282"/>
      <c r="D5" s="283"/>
      <c r="E5" s="283"/>
      <c r="F5" s="283"/>
      <c r="G5" s="283"/>
      <c r="I5" s="351"/>
      <c r="K5" s="284" t="str">
        <f>SUBSTITUTE(SUBSTITUTE(K4," ",""),"　","")</f>
        <v>○○</v>
      </c>
      <c r="L5" s="284" t="str">
        <f>SUBSTITUTE(SUBSTITUTE(L4," ",""),"　","")</f>
        <v>○○</v>
      </c>
    </row>
    <row r="6" spans="2:12" ht="18.75" customHeight="1">
      <c r="B6" s="458" t="s">
        <v>39</v>
      </c>
      <c r="C6" s="458"/>
      <c r="D6" s="461">
        <v>18</v>
      </c>
      <c r="E6" s="461"/>
      <c r="F6" s="461"/>
      <c r="G6" s="461"/>
      <c r="I6" s="351"/>
    </row>
    <row r="7" spans="2:12" ht="18.75" customHeight="1">
      <c r="B7" s="458" t="s">
        <v>40</v>
      </c>
      <c r="C7" s="458"/>
      <c r="D7" s="462">
        <f>VLOOKUP(D6,日!$B$2:$F$111,3,0)</f>
        <v>43668</v>
      </c>
      <c r="E7" s="463"/>
      <c r="F7" s="464" t="str">
        <f>TEXT(WEEKDAY(D7,1),"aaaa")&amp;"　１６時"</f>
        <v>月曜日　１６時</v>
      </c>
      <c r="G7" s="465"/>
      <c r="I7" s="351"/>
    </row>
    <row r="8" spans="2:12" ht="18.75" customHeight="1">
      <c r="B8" s="458" t="s">
        <v>38</v>
      </c>
      <c r="C8" s="458"/>
      <c r="D8" s="466">
        <f>VLOOKUP(D6,日!$B$2:$F$111,5,0)</f>
        <v>43729</v>
      </c>
      <c r="E8" s="467"/>
      <c r="F8" s="468" t="str">
        <f>TEXT(WEEKDAY(D8,1),"aaaa")</f>
        <v>土曜日</v>
      </c>
      <c r="G8" s="469"/>
      <c r="I8" s="351"/>
    </row>
    <row r="9" spans="2:12" ht="18.75" customHeight="1">
      <c r="B9" s="458" t="s">
        <v>41</v>
      </c>
      <c r="C9" s="458"/>
      <c r="D9" s="459" t="s">
        <v>45</v>
      </c>
      <c r="E9" s="460"/>
      <c r="F9" s="395" t="s">
        <v>46</v>
      </c>
      <c r="G9" s="396"/>
      <c r="I9" s="351"/>
    </row>
    <row r="10" spans="2:12">
      <c r="B10" s="351"/>
      <c r="C10" s="351"/>
      <c r="D10" s="291"/>
      <c r="E10" s="291"/>
      <c r="F10" s="291"/>
      <c r="G10" s="291"/>
      <c r="I10" s="351"/>
    </row>
    <row r="11" spans="2:12" ht="21">
      <c r="B11" s="414" t="s">
        <v>206</v>
      </c>
      <c r="C11" s="414"/>
      <c r="D11" s="414"/>
      <c r="E11" s="414"/>
      <c r="F11" s="414"/>
      <c r="G11" s="414"/>
    </row>
    <row r="12" spans="2:12">
      <c r="B12" s="91"/>
      <c r="C12" s="92" t="s">
        <v>10</v>
      </c>
      <c r="D12" s="93" t="s">
        <v>33</v>
      </c>
      <c r="E12" s="94" t="s">
        <v>12</v>
      </c>
      <c r="F12" s="95" t="s">
        <v>13</v>
      </c>
      <c r="G12" s="96" t="s">
        <v>14</v>
      </c>
      <c r="H12" s="350" t="s">
        <v>47</v>
      </c>
      <c r="I12" s="96" t="s">
        <v>250</v>
      </c>
    </row>
    <row r="13" spans="2:12" ht="15.75" customHeight="1">
      <c r="B13" s="98"/>
      <c r="C13" s="99" t="str">
        <f>IF(D13="","",登!$F$1)</f>
        <v/>
      </c>
      <c r="D13" s="504"/>
      <c r="E13" s="99">
        <v>1</v>
      </c>
      <c r="F13" s="100" t="str">
        <f>IF(D13="","",VLOOKUP(D13,登!$B$4:$I$103,7,0))</f>
        <v/>
      </c>
      <c r="G13" s="119" t="str">
        <f>IF(D13="","",IF(VLOOKUP(D13,登!$B$4:$I$103,2,0)=登!$B$1,1,IF(VLOOKUP(D13,登!$B$4:$I$103,2,0)=登!$B$1-1,2,IF(VLOOKUP(D13,登!$B$4:$I$103,2,0)=登!$B$1-2,3,"学年ミス"))))</f>
        <v/>
      </c>
      <c r="H13" s="119" t="str">
        <f>IF(D13="","",IF(COUNTIF($D$13:$D$15,D13)&gt;1,"選手重複!!","OK"))</f>
        <v/>
      </c>
      <c r="I13" s="119" t="str">
        <f>IF(D13="","",IF(VLOOKUP(D13,登!$B$4:$I$103,3,0)=1,"男","女"))</f>
        <v/>
      </c>
    </row>
    <row r="14" spans="2:12" ht="15.75" customHeight="1">
      <c r="B14" s="104"/>
      <c r="C14" s="105" t="str">
        <f>IF(D14="","",登!$F$1)</f>
        <v/>
      </c>
      <c r="D14" s="505"/>
      <c r="E14" s="105">
        <v>2</v>
      </c>
      <c r="F14" s="106" t="str">
        <f>IF(D14="","",VLOOKUP(D14,登!$B$4:$I$103,7,0))</f>
        <v/>
      </c>
      <c r="G14" s="108" t="str">
        <f>IF(D14="","",IF(VLOOKUP(D14,登!$B$4:$I$103,2,0)=登!$B$1,1,IF(VLOOKUP(D14,登!$B$4:$I$103,2,0)=登!$B$1-1,2,IF(VLOOKUP(D14,登!$B$4:$I$103,2,0)=登!$B$1-2,3,"学年ミス"))))</f>
        <v/>
      </c>
      <c r="H14" s="108" t="str">
        <f>IF(D14="","",IF(COUNTIF($D$13:$D$15,D14)&gt;1,"選手重複!!","OK"))</f>
        <v/>
      </c>
      <c r="I14" s="108" t="str">
        <f>IF(D14="","",IF(VLOOKUP(D14,登!$B$4:$I$103,3,0)=1,"男","女"))</f>
        <v/>
      </c>
    </row>
    <row r="15" spans="2:12" ht="15.75" customHeight="1">
      <c r="B15" s="131"/>
      <c r="C15" s="132" t="str">
        <f>IF(D15="","",登!$F$1)</f>
        <v/>
      </c>
      <c r="D15" s="506"/>
      <c r="E15" s="132">
        <v>3</v>
      </c>
      <c r="F15" s="133" t="str">
        <f>IF(D15="","",VLOOKUP(D15,登!$B$4:$I$103,7,0))</f>
        <v/>
      </c>
      <c r="G15" s="296" t="str">
        <f>IF(D15="","",IF(VLOOKUP(D15,登!$B$4:$I$103,2,0)=登!$B$1,1,IF(VLOOKUP(D15,登!$B$4:$I$103,2,0)=登!$B$1-1,2,IF(VLOOKUP(D15,登!$B$4:$I$103,2,0)=登!$B$1-2,3,"学年ミス"))))</f>
        <v/>
      </c>
      <c r="H15" s="296" t="str">
        <f>IF(D15="","",IF(COUNTIF($D$13:$D$15,D15)&gt;1,"選手重複!!","OK"))</f>
        <v/>
      </c>
      <c r="I15" s="296" t="str">
        <f>IF(D15="","",IF(VLOOKUP(D15,登!$B$4:$I$103,3,0)=1,"男","女"))</f>
        <v/>
      </c>
    </row>
  </sheetData>
  <sheetProtection password="CC71" sheet="1" objects="1" scenarios="1"/>
  <mergeCells count="17">
    <mergeCell ref="B11:G11"/>
    <mergeCell ref="B7:C7"/>
    <mergeCell ref="D7:E7"/>
    <mergeCell ref="F7:G7"/>
    <mergeCell ref="B8:C8"/>
    <mergeCell ref="D8:E8"/>
    <mergeCell ref="F8:G8"/>
    <mergeCell ref="B6:C6"/>
    <mergeCell ref="D6:G6"/>
    <mergeCell ref="B9:C9"/>
    <mergeCell ref="D9:E9"/>
    <mergeCell ref="F9:G9"/>
    <mergeCell ref="C2:G2"/>
    <mergeCell ref="K2:K3"/>
    <mergeCell ref="L2:L3"/>
    <mergeCell ref="B4:C4"/>
    <mergeCell ref="D4:G4"/>
  </mergeCells>
  <phoneticPr fontId="2"/>
  <hyperlinks>
    <hyperlink ref="F9:G9" r:id="rId1" display="gunkyumi@yahoo.co.jp"/>
  </hyperlinks>
  <printOptions horizontalCentered="1"/>
  <pageMargins left="0.39370078740157483" right="0.39370078740157483" top="0.39370078740157483" bottom="0.39370078740157483" header="0" footer="0"/>
  <pageSetup paperSize="9" orientation="portrait" horizontalDpi="300" r:id="rId2"/>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2:L57"/>
  <sheetViews>
    <sheetView zoomScaleNormal="100" workbookViewId="0"/>
  </sheetViews>
  <sheetFormatPr defaultColWidth="9" defaultRowHeight="12.75" customHeight="1"/>
  <cols>
    <col min="1" max="3" width="6.875" style="75" customWidth="1"/>
    <col min="4" max="4" width="17.5" style="75" customWidth="1"/>
    <col min="5" max="5" width="10.875" style="75" customWidth="1"/>
    <col min="6" max="6" width="17.625" style="75" customWidth="1"/>
    <col min="7" max="7" width="10.875" style="75" customWidth="1"/>
    <col min="8" max="8" width="8.625" style="74" customWidth="1"/>
    <col min="9" max="9" width="8.625" style="75" customWidth="1"/>
    <col min="10" max="10" width="2.125" style="75" customWidth="1"/>
    <col min="11" max="16384" width="9" style="75"/>
  </cols>
  <sheetData>
    <row r="2" spans="2:12" ht="22.5" customHeight="1">
      <c r="B2" s="260">
        <v>1</v>
      </c>
      <c r="C2" s="424" t="str">
        <f>日!B1&amp;" 新春射会（リーダー研修会・団体対策）"</f>
        <v>令和元年度 新春射会（リーダー研修会・団体対策）</v>
      </c>
      <c r="D2" s="425"/>
      <c r="E2" s="425"/>
      <c r="F2" s="425"/>
      <c r="G2" s="426"/>
      <c r="K2" s="436" t="s">
        <v>252</v>
      </c>
      <c r="L2" s="436" t="s">
        <v>251</v>
      </c>
    </row>
    <row r="3" spans="2:12" ht="12.75" customHeight="1">
      <c r="B3" s="282"/>
      <c r="C3" s="282"/>
      <c r="D3" s="283"/>
      <c r="E3" s="283"/>
      <c r="F3" s="283"/>
      <c r="G3" s="283"/>
      <c r="I3" s="264"/>
      <c r="K3" s="436"/>
      <c r="L3" s="436"/>
    </row>
    <row r="4" spans="2:12" ht="12.75" customHeight="1">
      <c r="B4" s="415" t="s">
        <v>11</v>
      </c>
      <c r="C4" s="415"/>
      <c r="D4" s="411" t="str">
        <f>IF(K5="","",IF(LENB(K5)+LENB(L5)&gt;=14,K5&amp;L5,IF(LENB(L5)=8,IF(LENB(K5)&lt;=6,IF(LENB(K5)=2,K5&amp;"　　",IF(LENB(K5)=4,LEFT(K5,1)&amp;"　"&amp;RIGHT(K5,1),K5)),K5),IF(LENB(K5)&lt;=6,IF(LENB(K5)=2,K5&amp;"　　　",IF(LENB(K5)=4,LEFT(K5,1)&amp;"　"&amp;RIGHT(K5,1)&amp;"　",K5&amp;"　")),K5)))&amp;IF(K5="","",IF(LENB(K5)+LENB(L5)&gt;=14,"",IF(LENB(L5)=2,"　　"&amp;L5,IF(LENB(L5)=4,LEFT(L5,1)&amp;"　"&amp;RIGHT(L5,1),L5)))))</f>
        <v>○　○　○　○</v>
      </c>
      <c r="E4" s="411"/>
      <c r="F4" s="411"/>
      <c r="G4" s="411"/>
      <c r="I4" s="264"/>
      <c r="J4" s="74"/>
      <c r="K4" s="62" t="s">
        <v>540</v>
      </c>
      <c r="L4" s="62" t="s">
        <v>532</v>
      </c>
    </row>
    <row r="5" spans="2:12" ht="12.75" customHeight="1">
      <c r="B5" s="144"/>
      <c r="C5" s="144"/>
      <c r="D5" s="145"/>
      <c r="E5" s="145"/>
      <c r="F5" s="145"/>
      <c r="G5" s="145"/>
      <c r="I5" s="264"/>
      <c r="K5" s="284" t="str">
        <f>SUBSTITUTE(SUBSTITUTE(K4," ",""),"　","")</f>
        <v>○○</v>
      </c>
      <c r="L5" s="284" t="str">
        <f>SUBSTITUTE(SUBSTITUTE(L4," ",""),"　","")</f>
        <v>○○</v>
      </c>
    </row>
    <row r="6" spans="2:12" ht="12.75" customHeight="1">
      <c r="B6" s="411" t="s">
        <v>39</v>
      </c>
      <c r="C6" s="411"/>
      <c r="D6" s="427">
        <v>19</v>
      </c>
      <c r="E6" s="427"/>
      <c r="F6" s="427"/>
      <c r="G6" s="427"/>
      <c r="I6" s="264"/>
    </row>
    <row r="7" spans="2:12" ht="12.75" customHeight="1">
      <c r="B7" s="411" t="s">
        <v>40</v>
      </c>
      <c r="C7" s="411"/>
      <c r="D7" s="422">
        <f>VLOOKUP(D6,日!$B$2:$F$111,3,0)</f>
        <v>43790</v>
      </c>
      <c r="E7" s="423"/>
      <c r="F7" s="416" t="str">
        <f>TEXT(WEEKDAY(D7,1),"aaaa")&amp;"　１６時"</f>
        <v>木曜日　１６時</v>
      </c>
      <c r="G7" s="417"/>
      <c r="I7" s="264"/>
    </row>
    <row r="8" spans="2:12" ht="12.75" customHeight="1">
      <c r="B8" s="411" t="s">
        <v>38</v>
      </c>
      <c r="C8" s="411"/>
      <c r="D8" s="418">
        <f>VLOOKUP(D6,日!$B$2:$F$111,5,0)</f>
        <v>43833</v>
      </c>
      <c r="E8" s="419"/>
      <c r="F8" s="420" t="str">
        <f>TEXT(WEEKDAY(D8,1),"aaaa")</f>
        <v>金曜日</v>
      </c>
      <c r="G8" s="421"/>
      <c r="I8" s="264"/>
    </row>
    <row r="9" spans="2:12" ht="12.75" customHeight="1">
      <c r="B9" s="411" t="s">
        <v>41</v>
      </c>
      <c r="C9" s="411"/>
      <c r="D9" s="412" t="s">
        <v>45</v>
      </c>
      <c r="E9" s="413"/>
      <c r="F9" s="539" t="s">
        <v>46</v>
      </c>
      <c r="G9" s="540"/>
      <c r="I9" s="264"/>
    </row>
    <row r="10" spans="2:12" ht="12.75" customHeight="1">
      <c r="B10" s="264"/>
      <c r="C10" s="264"/>
      <c r="D10" s="291"/>
      <c r="E10" s="291"/>
      <c r="F10" s="291"/>
      <c r="G10" s="291"/>
      <c r="I10" s="264"/>
    </row>
    <row r="11" spans="2:12" ht="22.5" customHeight="1">
      <c r="B11" s="414" t="s">
        <v>206</v>
      </c>
      <c r="C11" s="414"/>
      <c r="D11" s="414"/>
      <c r="E11" s="414"/>
      <c r="F11" s="414"/>
      <c r="G11" s="414"/>
    </row>
    <row r="12" spans="2:12" ht="12.75" customHeight="1">
      <c r="B12" s="91"/>
      <c r="C12" s="92" t="s">
        <v>10</v>
      </c>
      <c r="D12" s="93" t="s">
        <v>33</v>
      </c>
      <c r="E12" s="94" t="s">
        <v>12</v>
      </c>
      <c r="F12" s="95" t="s">
        <v>13</v>
      </c>
      <c r="G12" s="96" t="s">
        <v>14</v>
      </c>
      <c r="H12" s="260" t="s">
        <v>47</v>
      </c>
      <c r="I12" s="96" t="s">
        <v>250</v>
      </c>
    </row>
    <row r="13" spans="2:12" ht="12.75" customHeight="1">
      <c r="B13" s="98"/>
      <c r="C13" s="99" t="str">
        <f>IF(D13="","",登!$F$1)</f>
        <v/>
      </c>
      <c r="D13" s="63"/>
      <c r="E13" s="99">
        <v>1</v>
      </c>
      <c r="F13" s="100" t="str">
        <f>IF(D13="","",VLOOKUP(D13,登!$B$4:$I$103,7,0))</f>
        <v/>
      </c>
      <c r="G13" s="119" t="str">
        <f>IF(D13="","",IF(VLOOKUP(D13,登!$B$4:$I$103,2,0)=登!$B$1,1,IF(VLOOKUP(D13,登!$B$4:$I$103,2,0)=登!$B$1-1,2,IF(VLOOKUP(D13,登!$B$4:$I$103,2,0)=登!$B$1-2,3,"学年ミス"))))</f>
        <v/>
      </c>
      <c r="H13" s="119" t="str">
        <f t="shared" ref="H13:H57" si="0">IF(D13="","",IF(COUNTIF($D$13:$D$57,D13)&gt;1,"選手重複!!","OK"))</f>
        <v/>
      </c>
      <c r="I13" s="119" t="str">
        <f>IF(D13="","",IF(VLOOKUP(D13,登!$B$4:$I$103,3,0)=1,"男","女"))</f>
        <v/>
      </c>
    </row>
    <row r="14" spans="2:12" ht="12.75" customHeight="1">
      <c r="B14" s="104"/>
      <c r="C14" s="105" t="str">
        <f>IF(D14="","",登!$F$1)</f>
        <v/>
      </c>
      <c r="D14" s="37"/>
      <c r="E14" s="105">
        <v>2</v>
      </c>
      <c r="F14" s="106" t="str">
        <f>IF(D14="","",IF(COUNTIF($D$13:D14,"")=0,VLOOKUP(D14,登!$B$4:$I$103,7,0),"１番から詰めて入力してください"))</f>
        <v/>
      </c>
      <c r="G14" s="108" t="str">
        <f>IF(D14="","",IF(VLOOKUP(D14,登!$B$4:$I$103,2,0)=登!$B$1,1,IF(VLOOKUP(D14,登!$B$4:$I$103,2,0)=登!$B$1-1,2,IF(VLOOKUP(D14,登!$B$4:$I$103,2,0)=登!$B$1-2,3,"学年ミス"))))</f>
        <v/>
      </c>
      <c r="H14" s="108" t="str">
        <f t="shared" si="0"/>
        <v/>
      </c>
      <c r="I14" s="108" t="str">
        <f>IF(D14="","",IF(VLOOKUP(D14,登!$B$4:$I$103,3,0)=1,"男","女"))</f>
        <v/>
      </c>
    </row>
    <row r="15" spans="2:12" ht="12.75" customHeight="1">
      <c r="B15" s="104"/>
      <c r="C15" s="105" t="str">
        <f>IF(D15="","",登!$F$1)</f>
        <v/>
      </c>
      <c r="D15" s="37"/>
      <c r="E15" s="105">
        <v>3</v>
      </c>
      <c r="F15" s="106" t="str">
        <f>IF(D15="","",IF(COUNTIF($D$13:D15,"")=0,VLOOKUP(D15,登!$B$4:$I$103,7,0),"１番から詰めて入力してください"))</f>
        <v/>
      </c>
      <c r="G15" s="108" t="str">
        <f>IF(D15="","",IF(VLOOKUP(D15,登!$B$4:$I$103,2,0)=登!$B$1,1,IF(VLOOKUP(D15,登!$B$4:$I$103,2,0)=登!$B$1-1,2,IF(VLOOKUP(D15,登!$B$4:$I$103,2,0)=登!$B$1-2,3,"学年ミス"))))</f>
        <v/>
      </c>
      <c r="H15" s="108" t="str">
        <f t="shared" si="0"/>
        <v/>
      </c>
      <c r="I15" s="108" t="str">
        <f>IF(D15="","",IF(VLOOKUP(D15,登!$B$4:$I$103,3,0)=1,"男","女"))</f>
        <v/>
      </c>
    </row>
    <row r="16" spans="2:12" ht="12.75" customHeight="1">
      <c r="B16" s="104"/>
      <c r="C16" s="105" t="str">
        <f>IF(D16="","",登!$F$1)</f>
        <v/>
      </c>
      <c r="D16" s="37"/>
      <c r="E16" s="105">
        <v>4</v>
      </c>
      <c r="F16" s="106" t="str">
        <f>IF(D16="","",IF(COUNTIF($D$13:D16,"")=0,VLOOKUP(D16,登!$B$4:$I$103,7,0),"１番から詰めて入力してください"))</f>
        <v/>
      </c>
      <c r="G16" s="108" t="str">
        <f>IF(D16="","",IF(VLOOKUP(D16,登!$B$4:$I$103,2,0)=登!$B$1,1,IF(VLOOKUP(D16,登!$B$4:$I$103,2,0)=登!$B$1-1,2,IF(VLOOKUP(D16,登!$B$4:$I$103,2,0)=登!$B$1-2,3,"学年ミス"))))</f>
        <v/>
      </c>
      <c r="H16" s="108" t="str">
        <f t="shared" si="0"/>
        <v/>
      </c>
      <c r="I16" s="108" t="str">
        <f>IF(D16="","",IF(VLOOKUP(D16,登!$B$4:$I$103,3,0)=1,"男","女"))</f>
        <v/>
      </c>
    </row>
    <row r="17" spans="2:9" ht="12.75" customHeight="1">
      <c r="B17" s="104"/>
      <c r="C17" s="105" t="str">
        <f>IF(D17="","",登!$F$1)</f>
        <v/>
      </c>
      <c r="D17" s="37"/>
      <c r="E17" s="105">
        <v>5</v>
      </c>
      <c r="F17" s="106" t="str">
        <f>IF(D17="","",IF(COUNTIF($D$13:D17,"")=0,VLOOKUP(D17,登!$B$4:$I$103,7,0),"１番から詰めて入力してください"))</f>
        <v/>
      </c>
      <c r="G17" s="108" t="str">
        <f>IF(D17="","",IF(VLOOKUP(D17,登!$B$4:$I$103,2,0)=登!$B$1,1,IF(VLOOKUP(D17,登!$B$4:$I$103,2,0)=登!$B$1-1,2,IF(VLOOKUP(D17,登!$B$4:$I$103,2,0)=登!$B$1-2,3,"学年ミス"))))</f>
        <v/>
      </c>
      <c r="H17" s="108" t="str">
        <f t="shared" si="0"/>
        <v/>
      </c>
      <c r="I17" s="108" t="str">
        <f>IF(D17="","",IF(VLOOKUP(D17,登!$B$4:$I$103,3,0)=1,"男","女"))</f>
        <v/>
      </c>
    </row>
    <row r="18" spans="2:9" ht="12.75" customHeight="1">
      <c r="B18" s="104"/>
      <c r="C18" s="105" t="str">
        <f>IF(D18="","",登!$F$1)</f>
        <v/>
      </c>
      <c r="D18" s="37"/>
      <c r="E18" s="105">
        <v>6</v>
      </c>
      <c r="F18" s="106" t="str">
        <f>IF(D18="","",IF(COUNTIF($D$13:D18,"")=0,VLOOKUP(D18,登!$B$4:$I$103,7,0),"１番から詰めて入力してください"))</f>
        <v/>
      </c>
      <c r="G18" s="108" t="str">
        <f>IF(D18="","",IF(VLOOKUP(D18,登!$B$4:$I$103,2,0)=登!$B$1,1,IF(VLOOKUP(D18,登!$B$4:$I$103,2,0)=登!$B$1-1,2,IF(VLOOKUP(D18,登!$B$4:$I$103,2,0)=登!$B$1-2,3,"学年ミス"))))</f>
        <v/>
      </c>
      <c r="H18" s="108" t="str">
        <f t="shared" si="0"/>
        <v/>
      </c>
      <c r="I18" s="108" t="str">
        <f>IF(D18="","",IF(VLOOKUP(D18,登!$B$4:$I$103,3,0)=1,"男","女"))</f>
        <v/>
      </c>
    </row>
    <row r="19" spans="2:9" ht="12.75" customHeight="1">
      <c r="B19" s="104"/>
      <c r="C19" s="105" t="str">
        <f>IF(D19="","",登!$F$1)</f>
        <v/>
      </c>
      <c r="D19" s="37"/>
      <c r="E19" s="105">
        <v>7</v>
      </c>
      <c r="F19" s="106" t="str">
        <f>IF(D19="","",IF(COUNTIF($D$13:D19,"")=0,VLOOKUP(D19,登!$B$4:$I$103,7,0),"１番から詰めて入力してください"))</f>
        <v/>
      </c>
      <c r="G19" s="108" t="str">
        <f>IF(D19="","",IF(VLOOKUP(D19,登!$B$4:$I$103,2,0)=登!$B$1,1,IF(VLOOKUP(D19,登!$B$4:$I$103,2,0)=登!$B$1-1,2,IF(VLOOKUP(D19,登!$B$4:$I$103,2,0)=登!$B$1-2,3,"学年ミス"))))</f>
        <v/>
      </c>
      <c r="H19" s="108" t="str">
        <f t="shared" si="0"/>
        <v/>
      </c>
      <c r="I19" s="108" t="str">
        <f>IF(D19="","",IF(VLOOKUP(D19,登!$B$4:$I$103,3,0)=1,"男","女"))</f>
        <v/>
      </c>
    </row>
    <row r="20" spans="2:9" ht="12.75" customHeight="1">
      <c r="B20" s="104"/>
      <c r="C20" s="105" t="str">
        <f>IF(D20="","",登!$F$1)</f>
        <v/>
      </c>
      <c r="D20" s="37"/>
      <c r="E20" s="105">
        <v>8</v>
      </c>
      <c r="F20" s="106" t="str">
        <f>IF(D20="","",IF(COUNTIF($D$13:D20,"")=0,VLOOKUP(D20,登!$B$4:$I$103,7,0),"１番から詰めて入力してください"))</f>
        <v/>
      </c>
      <c r="G20" s="108" t="str">
        <f>IF(D20="","",IF(VLOOKUP(D20,登!$B$4:$I$103,2,0)=登!$B$1,1,IF(VLOOKUP(D20,登!$B$4:$I$103,2,0)=登!$B$1-1,2,IF(VLOOKUP(D20,登!$B$4:$I$103,2,0)=登!$B$1-2,3,"学年ミス"))))</f>
        <v/>
      </c>
      <c r="H20" s="108" t="str">
        <f t="shared" si="0"/>
        <v/>
      </c>
      <c r="I20" s="108" t="str">
        <f>IF(D20="","",IF(VLOOKUP(D20,登!$B$4:$I$103,3,0)=1,"男","女"))</f>
        <v/>
      </c>
    </row>
    <row r="21" spans="2:9" ht="12.75" customHeight="1">
      <c r="B21" s="104"/>
      <c r="C21" s="105" t="str">
        <f>IF(D21="","",登!$F$1)</f>
        <v/>
      </c>
      <c r="D21" s="37"/>
      <c r="E21" s="105">
        <v>9</v>
      </c>
      <c r="F21" s="106" t="str">
        <f>IF(D21="","",IF(COUNTIF($D$13:D21,"")=0,VLOOKUP(D21,登!$B$4:$I$103,7,0),"１番から詰めて入力してください"))</f>
        <v/>
      </c>
      <c r="G21" s="108" t="str">
        <f>IF(D21="","",IF(VLOOKUP(D21,登!$B$4:$I$103,2,0)=登!$B$1,1,IF(VLOOKUP(D21,登!$B$4:$I$103,2,0)=登!$B$1-1,2,IF(VLOOKUP(D21,登!$B$4:$I$103,2,0)=登!$B$1-2,3,"学年ミス"))))</f>
        <v/>
      </c>
      <c r="H21" s="108" t="str">
        <f t="shared" si="0"/>
        <v/>
      </c>
      <c r="I21" s="108" t="str">
        <f>IF(D21="","",IF(VLOOKUP(D21,登!$B$4:$I$103,3,0)=1,"男","女"))</f>
        <v/>
      </c>
    </row>
    <row r="22" spans="2:9" ht="12.75" customHeight="1">
      <c r="B22" s="104"/>
      <c r="C22" s="105" t="str">
        <f>IF(D22="","",登!$F$1)</f>
        <v/>
      </c>
      <c r="D22" s="37"/>
      <c r="E22" s="105">
        <v>10</v>
      </c>
      <c r="F22" s="106" t="str">
        <f>IF(D22="","",IF(COUNTIF($D$13:D22,"")=0,VLOOKUP(D22,登!$B$4:$I$103,7,0),"１番から詰めて入力してください"))</f>
        <v/>
      </c>
      <c r="G22" s="108" t="str">
        <f>IF(D22="","",IF(VLOOKUP(D22,登!$B$4:$I$103,2,0)=登!$B$1,1,IF(VLOOKUP(D22,登!$B$4:$I$103,2,0)=登!$B$1-1,2,IF(VLOOKUP(D22,登!$B$4:$I$103,2,0)=登!$B$1-2,3,"学年ミス"))))</f>
        <v/>
      </c>
      <c r="H22" s="108" t="str">
        <f t="shared" si="0"/>
        <v/>
      </c>
      <c r="I22" s="108" t="str">
        <f>IF(D22="","",IF(VLOOKUP(D22,登!$B$4:$I$103,3,0)=1,"男","女"))</f>
        <v/>
      </c>
    </row>
    <row r="23" spans="2:9" ht="12.75" customHeight="1">
      <c r="B23" s="104"/>
      <c r="C23" s="105" t="str">
        <f>IF(D23="","",登!$F$1)</f>
        <v/>
      </c>
      <c r="D23" s="37"/>
      <c r="E23" s="105">
        <v>11</v>
      </c>
      <c r="F23" s="106" t="str">
        <f>IF(D23="","",IF(COUNTIF($D$13:D23,"")=0,VLOOKUP(D23,登!$B$4:$I$103,7,0),"１番から詰めて入力してください"))</f>
        <v/>
      </c>
      <c r="G23" s="108" t="str">
        <f>IF(D23="","",IF(VLOOKUP(D23,登!$B$4:$I$103,2,0)=登!$B$1,1,IF(VLOOKUP(D23,登!$B$4:$I$103,2,0)=登!$B$1-1,2,IF(VLOOKUP(D23,登!$B$4:$I$103,2,0)=登!$B$1-2,3,"学年ミス"))))</f>
        <v/>
      </c>
      <c r="H23" s="108" t="str">
        <f t="shared" si="0"/>
        <v/>
      </c>
      <c r="I23" s="108" t="str">
        <f>IF(D23="","",IF(VLOOKUP(D23,登!$B$4:$I$103,3,0)=1,"男","女"))</f>
        <v/>
      </c>
    </row>
    <row r="24" spans="2:9" ht="12.75" customHeight="1">
      <c r="B24" s="104"/>
      <c r="C24" s="105" t="str">
        <f>IF(D24="","",登!$F$1)</f>
        <v/>
      </c>
      <c r="D24" s="37"/>
      <c r="E24" s="105">
        <v>12</v>
      </c>
      <c r="F24" s="106" t="str">
        <f>IF(D24="","",IF(COUNTIF($D$13:D24,"")=0,VLOOKUP(D24,登!$B$4:$I$103,7,0),"１番から詰めて入力してください"))</f>
        <v/>
      </c>
      <c r="G24" s="108" t="str">
        <f>IF(D24="","",IF(VLOOKUP(D24,登!$B$4:$I$103,2,0)=登!$B$1,1,IF(VLOOKUP(D24,登!$B$4:$I$103,2,0)=登!$B$1-1,2,IF(VLOOKUP(D24,登!$B$4:$I$103,2,0)=登!$B$1-2,3,"学年ミス"))))</f>
        <v/>
      </c>
      <c r="H24" s="108" t="str">
        <f t="shared" si="0"/>
        <v/>
      </c>
      <c r="I24" s="108" t="str">
        <f>IF(D24="","",IF(VLOOKUP(D24,登!$B$4:$I$103,3,0)=1,"男","女"))</f>
        <v/>
      </c>
    </row>
    <row r="25" spans="2:9" ht="12.75" customHeight="1">
      <c r="B25" s="104"/>
      <c r="C25" s="105" t="str">
        <f>IF(D25="","",登!$F$1)</f>
        <v/>
      </c>
      <c r="D25" s="37"/>
      <c r="E25" s="105">
        <v>13</v>
      </c>
      <c r="F25" s="106" t="str">
        <f>IF(D25="","",IF(COUNTIF($D$13:D25,"")=0,VLOOKUP(D25,登!$B$4:$I$103,7,0),"１番から詰めて入力してください"))</f>
        <v/>
      </c>
      <c r="G25" s="108" t="str">
        <f>IF(D25="","",IF(VLOOKUP(D25,登!$B$4:$I$103,2,0)=登!$B$1,1,IF(VLOOKUP(D25,登!$B$4:$I$103,2,0)=登!$B$1-1,2,IF(VLOOKUP(D25,登!$B$4:$I$103,2,0)=登!$B$1-2,3,"学年ミス"))))</f>
        <v/>
      </c>
      <c r="H25" s="108" t="str">
        <f t="shared" si="0"/>
        <v/>
      </c>
      <c r="I25" s="108" t="str">
        <f>IF(D25="","",IF(VLOOKUP(D25,登!$B$4:$I$103,3,0)=1,"男","女"))</f>
        <v/>
      </c>
    </row>
    <row r="26" spans="2:9" ht="12.75" customHeight="1">
      <c r="B26" s="104"/>
      <c r="C26" s="105" t="str">
        <f>IF(D26="","",登!$F$1)</f>
        <v/>
      </c>
      <c r="D26" s="37"/>
      <c r="E26" s="105">
        <v>14</v>
      </c>
      <c r="F26" s="106" t="str">
        <f>IF(D26="","",IF(COUNTIF($D$13:D26,"")=0,VLOOKUP(D26,登!$B$4:$I$103,7,0),"１番から詰めて入力してください"))</f>
        <v/>
      </c>
      <c r="G26" s="108" t="str">
        <f>IF(D26="","",IF(VLOOKUP(D26,登!$B$4:$I$103,2,0)=登!$B$1,1,IF(VLOOKUP(D26,登!$B$4:$I$103,2,0)=登!$B$1-1,2,IF(VLOOKUP(D26,登!$B$4:$I$103,2,0)=登!$B$1-2,3,"学年ミス"))))</f>
        <v/>
      </c>
      <c r="H26" s="108" t="str">
        <f t="shared" si="0"/>
        <v/>
      </c>
      <c r="I26" s="108" t="str">
        <f>IF(D26="","",IF(VLOOKUP(D26,登!$B$4:$I$103,3,0)=1,"男","女"))</f>
        <v/>
      </c>
    </row>
    <row r="27" spans="2:9" ht="12.75" customHeight="1">
      <c r="B27" s="104"/>
      <c r="C27" s="105" t="str">
        <f>IF(D27="","",登!$F$1)</f>
        <v/>
      </c>
      <c r="D27" s="37"/>
      <c r="E27" s="105">
        <v>15</v>
      </c>
      <c r="F27" s="106" t="str">
        <f>IF(D27="","",IF(COUNTIF($D$13:D27,"")=0,VLOOKUP(D27,登!$B$4:$I$103,7,0),"１番から詰めて入力してください"))</f>
        <v/>
      </c>
      <c r="G27" s="108" t="str">
        <f>IF(D27="","",IF(VLOOKUP(D27,登!$B$4:$I$103,2,0)=登!$B$1,1,IF(VLOOKUP(D27,登!$B$4:$I$103,2,0)=登!$B$1-1,2,IF(VLOOKUP(D27,登!$B$4:$I$103,2,0)=登!$B$1-2,3,"学年ミス"))))</f>
        <v/>
      </c>
      <c r="H27" s="108" t="str">
        <f t="shared" si="0"/>
        <v/>
      </c>
      <c r="I27" s="108" t="str">
        <f>IF(D27="","",IF(VLOOKUP(D27,登!$B$4:$I$103,3,0)=1,"男","女"))</f>
        <v/>
      </c>
    </row>
    <row r="28" spans="2:9" ht="12.75" customHeight="1">
      <c r="B28" s="104"/>
      <c r="C28" s="105" t="str">
        <f>IF(D28="","",登!$F$1)</f>
        <v/>
      </c>
      <c r="D28" s="37"/>
      <c r="E28" s="105">
        <v>16</v>
      </c>
      <c r="F28" s="106" t="str">
        <f>IF(D28="","",IF(COUNTIF($D$13:D28,"")=0,VLOOKUP(D28,登!$B$4:$I$103,7,0),"１番から詰めて入力してください"))</f>
        <v/>
      </c>
      <c r="G28" s="108" t="str">
        <f>IF(D28="","",IF(VLOOKUP(D28,登!$B$4:$I$103,2,0)=登!$B$1,1,IF(VLOOKUP(D28,登!$B$4:$I$103,2,0)=登!$B$1-1,2,IF(VLOOKUP(D28,登!$B$4:$I$103,2,0)=登!$B$1-2,3,"学年ミス"))))</f>
        <v/>
      </c>
      <c r="H28" s="108" t="str">
        <f t="shared" si="0"/>
        <v/>
      </c>
      <c r="I28" s="108" t="str">
        <f>IF(D28="","",IF(VLOOKUP(D28,登!$B$4:$I$103,3,0)=1,"男","女"))</f>
        <v/>
      </c>
    </row>
    <row r="29" spans="2:9" ht="12.75" customHeight="1">
      <c r="B29" s="104"/>
      <c r="C29" s="105" t="str">
        <f>IF(D29="","",登!$F$1)</f>
        <v/>
      </c>
      <c r="D29" s="37"/>
      <c r="E29" s="105">
        <v>17</v>
      </c>
      <c r="F29" s="106" t="str">
        <f>IF(D29="","",IF(COUNTIF($D$13:D29,"")=0,VLOOKUP(D29,登!$B$4:$I$103,7,0),"１番から詰めて入力してください"))</f>
        <v/>
      </c>
      <c r="G29" s="108" t="str">
        <f>IF(D29="","",IF(VLOOKUP(D29,登!$B$4:$I$103,2,0)=登!$B$1,1,IF(VLOOKUP(D29,登!$B$4:$I$103,2,0)=登!$B$1-1,2,IF(VLOOKUP(D29,登!$B$4:$I$103,2,0)=登!$B$1-2,3,"学年ミス"))))</f>
        <v/>
      </c>
      <c r="H29" s="108" t="str">
        <f t="shared" si="0"/>
        <v/>
      </c>
      <c r="I29" s="108" t="str">
        <f>IF(D29="","",IF(VLOOKUP(D29,登!$B$4:$I$103,3,0)=1,"男","女"))</f>
        <v/>
      </c>
    </row>
    <row r="30" spans="2:9" ht="12.75" customHeight="1">
      <c r="B30" s="104"/>
      <c r="C30" s="105" t="str">
        <f>IF(D30="","",登!$F$1)</f>
        <v/>
      </c>
      <c r="D30" s="37"/>
      <c r="E30" s="105">
        <v>18</v>
      </c>
      <c r="F30" s="106" t="str">
        <f>IF(D30="","",IF(COUNTIF($D$13:D30,"")=0,VLOOKUP(D30,登!$B$4:$I$103,7,0),"１番から詰めて入力してください"))</f>
        <v/>
      </c>
      <c r="G30" s="108" t="str">
        <f>IF(D30="","",IF(VLOOKUP(D30,登!$B$4:$I$103,2,0)=登!$B$1,1,IF(VLOOKUP(D30,登!$B$4:$I$103,2,0)=登!$B$1-1,2,IF(VLOOKUP(D30,登!$B$4:$I$103,2,0)=登!$B$1-2,3,"学年ミス"))))</f>
        <v/>
      </c>
      <c r="H30" s="108" t="str">
        <f t="shared" si="0"/>
        <v/>
      </c>
      <c r="I30" s="108" t="str">
        <f>IF(D30="","",IF(VLOOKUP(D30,登!$B$4:$I$103,3,0)=1,"男","女"))</f>
        <v/>
      </c>
    </row>
    <row r="31" spans="2:9" ht="12.75" customHeight="1">
      <c r="B31" s="104"/>
      <c r="C31" s="105" t="str">
        <f>IF(D31="","",登!$F$1)</f>
        <v/>
      </c>
      <c r="D31" s="37"/>
      <c r="E31" s="105">
        <v>19</v>
      </c>
      <c r="F31" s="106" t="str">
        <f>IF(D31="","",IF(COUNTIF($D$13:D31,"")=0,VLOOKUP(D31,登!$B$4:$I$103,7,0),"１番から詰めて入力してください"))</f>
        <v/>
      </c>
      <c r="G31" s="108" t="str">
        <f>IF(D31="","",IF(VLOOKUP(D31,登!$B$4:$I$103,2,0)=登!$B$1,1,IF(VLOOKUP(D31,登!$B$4:$I$103,2,0)=登!$B$1-1,2,IF(VLOOKUP(D31,登!$B$4:$I$103,2,0)=登!$B$1-2,3,"学年ミス"))))</f>
        <v/>
      </c>
      <c r="H31" s="108" t="str">
        <f t="shared" si="0"/>
        <v/>
      </c>
      <c r="I31" s="108" t="str">
        <f>IF(D31="","",IF(VLOOKUP(D31,登!$B$4:$I$103,3,0)=1,"男","女"))</f>
        <v/>
      </c>
    </row>
    <row r="32" spans="2:9" ht="12.75" customHeight="1">
      <c r="B32" s="104"/>
      <c r="C32" s="105" t="str">
        <f>IF(D32="","",登!$F$1)</f>
        <v/>
      </c>
      <c r="D32" s="37"/>
      <c r="E32" s="105">
        <v>20</v>
      </c>
      <c r="F32" s="106" t="str">
        <f>IF(D32="","",IF(COUNTIF($D$13:D32,"")=0,VLOOKUP(D32,登!$B$4:$I$103,7,0),"１番から詰めて入力してください"))</f>
        <v/>
      </c>
      <c r="G32" s="108" t="str">
        <f>IF(D32="","",IF(VLOOKUP(D32,登!$B$4:$I$103,2,0)=登!$B$1,1,IF(VLOOKUP(D32,登!$B$4:$I$103,2,0)=登!$B$1-1,2,IF(VLOOKUP(D32,登!$B$4:$I$103,2,0)=登!$B$1-2,3,"学年ミス"))))</f>
        <v/>
      </c>
      <c r="H32" s="108" t="str">
        <f t="shared" si="0"/>
        <v/>
      </c>
      <c r="I32" s="108" t="str">
        <f>IF(D32="","",IF(VLOOKUP(D32,登!$B$4:$I$103,3,0)=1,"男","女"))</f>
        <v/>
      </c>
    </row>
    <row r="33" spans="2:9" ht="12.75" customHeight="1">
      <c r="B33" s="104"/>
      <c r="C33" s="105" t="str">
        <f>IF(D33="","",登!$F$1)</f>
        <v/>
      </c>
      <c r="D33" s="37"/>
      <c r="E33" s="105">
        <v>21</v>
      </c>
      <c r="F33" s="106" t="str">
        <f>IF(D33="","",IF(COUNTIF($D$13:D33,"")=0,VLOOKUP(D33,登!$B$4:$I$103,7,0),"１番から詰めて入力してください"))</f>
        <v/>
      </c>
      <c r="G33" s="108" t="str">
        <f>IF(D33="","",IF(VLOOKUP(D33,登!$B$4:$I$103,2,0)=登!$B$1,1,IF(VLOOKUP(D33,登!$B$4:$I$103,2,0)=登!$B$1-1,2,IF(VLOOKUP(D33,登!$B$4:$I$103,2,0)=登!$B$1-2,3,"学年ミス"))))</f>
        <v/>
      </c>
      <c r="H33" s="108" t="str">
        <f t="shared" si="0"/>
        <v/>
      </c>
      <c r="I33" s="108" t="str">
        <f>IF(D33="","",IF(VLOOKUP(D33,登!$B$4:$I$103,3,0)=1,"男","女"))</f>
        <v/>
      </c>
    </row>
    <row r="34" spans="2:9" ht="12.75" customHeight="1">
      <c r="B34" s="104"/>
      <c r="C34" s="105" t="str">
        <f>IF(D34="","",登!$F$1)</f>
        <v/>
      </c>
      <c r="D34" s="37"/>
      <c r="E34" s="105">
        <v>22</v>
      </c>
      <c r="F34" s="106" t="str">
        <f>IF(D34="","",IF(COUNTIF($D$13:D34,"")=0,VLOOKUP(D34,登!$B$4:$I$103,7,0),"１番から詰めて入力してください"))</f>
        <v/>
      </c>
      <c r="G34" s="108" t="str">
        <f>IF(D34="","",IF(VLOOKUP(D34,登!$B$4:$I$103,2,0)=登!$B$1,1,IF(VLOOKUP(D34,登!$B$4:$I$103,2,0)=登!$B$1-1,2,IF(VLOOKUP(D34,登!$B$4:$I$103,2,0)=登!$B$1-2,3,"学年ミス"))))</f>
        <v/>
      </c>
      <c r="H34" s="108" t="str">
        <f t="shared" si="0"/>
        <v/>
      </c>
      <c r="I34" s="108" t="str">
        <f>IF(D34="","",IF(VLOOKUP(D34,登!$B$4:$I$103,3,0)=1,"男","女"))</f>
        <v/>
      </c>
    </row>
    <row r="35" spans="2:9" ht="12.75" customHeight="1">
      <c r="B35" s="104"/>
      <c r="C35" s="105" t="str">
        <f>IF(D35="","",登!$F$1)</f>
        <v/>
      </c>
      <c r="D35" s="37"/>
      <c r="E35" s="105">
        <v>23</v>
      </c>
      <c r="F35" s="106" t="str">
        <f>IF(D35="","",IF(COUNTIF($D$13:D35,"")=0,VLOOKUP(D35,登!$B$4:$I$103,7,0),"１番から詰めて入力してください"))</f>
        <v/>
      </c>
      <c r="G35" s="108" t="str">
        <f>IF(D35="","",IF(VLOOKUP(D35,登!$B$4:$I$103,2,0)=登!$B$1,1,IF(VLOOKUP(D35,登!$B$4:$I$103,2,0)=登!$B$1-1,2,IF(VLOOKUP(D35,登!$B$4:$I$103,2,0)=登!$B$1-2,3,"学年ミス"))))</f>
        <v/>
      </c>
      <c r="H35" s="108" t="str">
        <f t="shared" si="0"/>
        <v/>
      </c>
      <c r="I35" s="108" t="str">
        <f>IF(D35="","",IF(VLOOKUP(D35,登!$B$4:$I$103,3,0)=1,"男","女"))</f>
        <v/>
      </c>
    </row>
    <row r="36" spans="2:9" ht="12.75" customHeight="1">
      <c r="B36" s="104"/>
      <c r="C36" s="105" t="str">
        <f>IF(D36="","",登!$F$1)</f>
        <v/>
      </c>
      <c r="D36" s="37"/>
      <c r="E36" s="105">
        <v>24</v>
      </c>
      <c r="F36" s="106" t="str">
        <f>IF(D36="","",IF(COUNTIF($D$13:D36,"")=0,VLOOKUP(D36,登!$B$4:$I$103,7,0),"１番から詰めて入力してください"))</f>
        <v/>
      </c>
      <c r="G36" s="108" t="str">
        <f>IF(D36="","",IF(VLOOKUP(D36,登!$B$4:$I$103,2,0)=登!$B$1,1,IF(VLOOKUP(D36,登!$B$4:$I$103,2,0)=登!$B$1-1,2,IF(VLOOKUP(D36,登!$B$4:$I$103,2,0)=登!$B$1-2,3,"学年ミス"))))</f>
        <v/>
      </c>
      <c r="H36" s="108" t="str">
        <f t="shared" si="0"/>
        <v/>
      </c>
      <c r="I36" s="108" t="str">
        <f>IF(D36="","",IF(VLOOKUP(D36,登!$B$4:$I$103,3,0)=1,"男","女"))</f>
        <v/>
      </c>
    </row>
    <row r="37" spans="2:9" ht="12.75" customHeight="1">
      <c r="B37" s="104"/>
      <c r="C37" s="105" t="str">
        <f>IF(D37="","",登!$F$1)</f>
        <v/>
      </c>
      <c r="D37" s="37"/>
      <c r="E37" s="105">
        <v>25</v>
      </c>
      <c r="F37" s="106" t="str">
        <f>IF(D37="","",IF(COUNTIF($D$13:D37,"")=0,VLOOKUP(D37,登!$B$4:$I$103,7,0),"１番から詰めて入力してください"))</f>
        <v/>
      </c>
      <c r="G37" s="108" t="str">
        <f>IF(D37="","",IF(VLOOKUP(D37,登!$B$4:$I$103,2,0)=登!$B$1,1,IF(VLOOKUP(D37,登!$B$4:$I$103,2,0)=登!$B$1-1,2,IF(VLOOKUP(D37,登!$B$4:$I$103,2,0)=登!$B$1-2,3,"学年ミス"))))</f>
        <v/>
      </c>
      <c r="H37" s="108" t="str">
        <f t="shared" si="0"/>
        <v/>
      </c>
      <c r="I37" s="108" t="str">
        <f>IF(D37="","",IF(VLOOKUP(D37,登!$B$4:$I$103,3,0)=1,"男","女"))</f>
        <v/>
      </c>
    </row>
    <row r="38" spans="2:9" ht="12.75" customHeight="1">
      <c r="B38" s="104"/>
      <c r="C38" s="105" t="str">
        <f>IF(D38="","",登!$F$1)</f>
        <v/>
      </c>
      <c r="D38" s="37"/>
      <c r="E38" s="105">
        <v>26</v>
      </c>
      <c r="F38" s="106" t="str">
        <f>IF(D38="","",IF(COUNTIF($D$13:D38,"")=0,VLOOKUP(D38,登!$B$4:$I$103,7,0),"１番から詰めて入力してください"))</f>
        <v/>
      </c>
      <c r="G38" s="108" t="str">
        <f>IF(D38="","",IF(VLOOKUP(D38,登!$B$4:$I$103,2,0)=登!$B$1,1,IF(VLOOKUP(D38,登!$B$4:$I$103,2,0)=登!$B$1-1,2,IF(VLOOKUP(D38,登!$B$4:$I$103,2,0)=登!$B$1-2,3,"学年ミス"))))</f>
        <v/>
      </c>
      <c r="H38" s="108" t="str">
        <f t="shared" si="0"/>
        <v/>
      </c>
      <c r="I38" s="108" t="str">
        <f>IF(D38="","",IF(VLOOKUP(D38,登!$B$4:$I$103,3,0)=1,"男","女"))</f>
        <v/>
      </c>
    </row>
    <row r="39" spans="2:9" ht="12.75" customHeight="1">
      <c r="B39" s="104"/>
      <c r="C39" s="105" t="str">
        <f>IF(D39="","",登!$F$1)</f>
        <v/>
      </c>
      <c r="D39" s="37"/>
      <c r="E39" s="105">
        <v>27</v>
      </c>
      <c r="F39" s="106" t="str">
        <f>IF(D39="","",IF(COUNTIF($D$13:D39,"")=0,VLOOKUP(D39,登!$B$4:$I$103,7,0),"１番から詰めて入力してください"))</f>
        <v/>
      </c>
      <c r="G39" s="108" t="str">
        <f>IF(D39="","",IF(VLOOKUP(D39,登!$B$4:$I$103,2,0)=登!$B$1,1,IF(VLOOKUP(D39,登!$B$4:$I$103,2,0)=登!$B$1-1,2,IF(VLOOKUP(D39,登!$B$4:$I$103,2,0)=登!$B$1-2,3,"学年ミス"))))</f>
        <v/>
      </c>
      <c r="H39" s="108" t="str">
        <f t="shared" si="0"/>
        <v/>
      </c>
      <c r="I39" s="108" t="str">
        <f>IF(D39="","",IF(VLOOKUP(D39,登!$B$4:$I$103,3,0)=1,"男","女"))</f>
        <v/>
      </c>
    </row>
    <row r="40" spans="2:9" ht="12.75" customHeight="1">
      <c r="B40" s="104"/>
      <c r="C40" s="105" t="str">
        <f>IF(D40="","",登!$F$1)</f>
        <v/>
      </c>
      <c r="D40" s="37"/>
      <c r="E40" s="105">
        <v>28</v>
      </c>
      <c r="F40" s="106" t="str">
        <f>IF(D40="","",IF(COUNTIF($D$13:D40,"")=0,VLOOKUP(D40,登!$B$4:$I$103,7,0),"１番から詰めて入力してください"))</f>
        <v/>
      </c>
      <c r="G40" s="108" t="str">
        <f>IF(D40="","",IF(VLOOKUP(D40,登!$B$4:$I$103,2,0)=登!$B$1,1,IF(VLOOKUP(D40,登!$B$4:$I$103,2,0)=登!$B$1-1,2,IF(VLOOKUP(D40,登!$B$4:$I$103,2,0)=登!$B$1-2,3,"学年ミス"))))</f>
        <v/>
      </c>
      <c r="H40" s="108" t="str">
        <f t="shared" si="0"/>
        <v/>
      </c>
      <c r="I40" s="108" t="str">
        <f>IF(D40="","",IF(VLOOKUP(D40,登!$B$4:$I$103,3,0)=1,"男","女"))</f>
        <v/>
      </c>
    </row>
    <row r="41" spans="2:9" ht="12.75" customHeight="1">
      <c r="B41" s="104"/>
      <c r="C41" s="105" t="str">
        <f>IF(D41="","",登!$F$1)</f>
        <v/>
      </c>
      <c r="D41" s="37"/>
      <c r="E41" s="105">
        <v>29</v>
      </c>
      <c r="F41" s="106" t="str">
        <f>IF(D41="","",IF(COUNTIF($D$13:D41,"")=0,VLOOKUP(D41,登!$B$4:$I$103,7,0),"１番から詰めて入力してください"))</f>
        <v/>
      </c>
      <c r="G41" s="108" t="str">
        <f>IF(D41="","",IF(VLOOKUP(D41,登!$B$4:$I$103,2,0)=登!$B$1,1,IF(VLOOKUP(D41,登!$B$4:$I$103,2,0)=登!$B$1-1,2,IF(VLOOKUP(D41,登!$B$4:$I$103,2,0)=登!$B$1-2,3,"学年ミス"))))</f>
        <v/>
      </c>
      <c r="H41" s="108" t="str">
        <f t="shared" si="0"/>
        <v/>
      </c>
      <c r="I41" s="108" t="str">
        <f>IF(D41="","",IF(VLOOKUP(D41,登!$B$4:$I$103,3,0)=1,"男","女"))</f>
        <v/>
      </c>
    </row>
    <row r="42" spans="2:9" ht="12.75" customHeight="1">
      <c r="B42" s="104"/>
      <c r="C42" s="105" t="str">
        <f>IF(D42="","",登!$F$1)</f>
        <v/>
      </c>
      <c r="D42" s="37"/>
      <c r="E42" s="105">
        <v>30</v>
      </c>
      <c r="F42" s="106" t="str">
        <f>IF(D42="","",IF(COUNTIF($D$13:D42,"")=0,VLOOKUP(D42,登!$B$4:$I$103,7,0),"１番から詰めて入力してください"))</f>
        <v/>
      </c>
      <c r="G42" s="108" t="str">
        <f>IF(D42="","",IF(VLOOKUP(D42,登!$B$4:$I$103,2,0)=登!$B$1,1,IF(VLOOKUP(D42,登!$B$4:$I$103,2,0)=登!$B$1-1,2,IF(VLOOKUP(D42,登!$B$4:$I$103,2,0)=登!$B$1-2,3,"学年ミス"))))</f>
        <v/>
      </c>
      <c r="H42" s="108" t="str">
        <f t="shared" si="0"/>
        <v/>
      </c>
      <c r="I42" s="108" t="str">
        <f>IF(D42="","",IF(VLOOKUP(D42,登!$B$4:$I$103,3,0)=1,"男","女"))</f>
        <v/>
      </c>
    </row>
    <row r="43" spans="2:9" ht="12.75" customHeight="1">
      <c r="B43" s="104"/>
      <c r="C43" s="105" t="str">
        <f>IF(D43="","",登!$F$1)</f>
        <v/>
      </c>
      <c r="D43" s="37"/>
      <c r="E43" s="105">
        <v>31</v>
      </c>
      <c r="F43" s="106" t="str">
        <f>IF(D43="","",IF(COUNTIF($D$13:D43,"")=0,VLOOKUP(D43,登!$B$4:$I$103,7,0),"１番から詰めて入力してください"))</f>
        <v/>
      </c>
      <c r="G43" s="108" t="str">
        <f>IF(D43="","",IF(VLOOKUP(D43,登!$B$4:$I$103,2,0)=登!$B$1,1,IF(VLOOKUP(D43,登!$B$4:$I$103,2,0)=登!$B$1-1,2,IF(VLOOKUP(D43,登!$B$4:$I$103,2,0)=登!$B$1-2,3,"学年ミス"))))</f>
        <v/>
      </c>
      <c r="H43" s="108" t="str">
        <f t="shared" si="0"/>
        <v/>
      </c>
      <c r="I43" s="108" t="str">
        <f>IF(D43="","",IF(VLOOKUP(D43,登!$B$4:$I$103,3,0)=1,"男","女"))</f>
        <v/>
      </c>
    </row>
    <row r="44" spans="2:9" ht="12.75" customHeight="1">
      <c r="B44" s="104"/>
      <c r="C44" s="105" t="str">
        <f>IF(D44="","",登!$F$1)</f>
        <v/>
      </c>
      <c r="D44" s="37"/>
      <c r="E44" s="105">
        <v>32</v>
      </c>
      <c r="F44" s="106" t="str">
        <f>IF(D44="","",IF(COUNTIF($D$13:D44,"")=0,VLOOKUP(D44,登!$B$4:$I$103,7,0),"１番から詰めて入力してください"))</f>
        <v/>
      </c>
      <c r="G44" s="108" t="str">
        <f>IF(D44="","",IF(VLOOKUP(D44,登!$B$4:$I$103,2,0)=登!$B$1,1,IF(VLOOKUP(D44,登!$B$4:$I$103,2,0)=登!$B$1-1,2,IF(VLOOKUP(D44,登!$B$4:$I$103,2,0)=登!$B$1-2,3,"学年ミス"))))</f>
        <v/>
      </c>
      <c r="H44" s="108" t="str">
        <f t="shared" si="0"/>
        <v/>
      </c>
      <c r="I44" s="108" t="str">
        <f>IF(D44="","",IF(VLOOKUP(D44,登!$B$4:$I$103,3,0)=1,"男","女"))</f>
        <v/>
      </c>
    </row>
    <row r="45" spans="2:9" ht="12.75" customHeight="1">
      <c r="B45" s="104"/>
      <c r="C45" s="105" t="str">
        <f>IF(D45="","",登!$F$1)</f>
        <v/>
      </c>
      <c r="D45" s="37"/>
      <c r="E45" s="105">
        <v>33</v>
      </c>
      <c r="F45" s="106" t="str">
        <f>IF(D45="","",IF(COUNTIF($D$13:D45,"")=0,VLOOKUP(D45,登!$B$4:$I$103,7,0),"１番から詰めて入力してください"))</f>
        <v/>
      </c>
      <c r="G45" s="108" t="str">
        <f>IF(D45="","",IF(VLOOKUP(D45,登!$B$4:$I$103,2,0)=登!$B$1,1,IF(VLOOKUP(D45,登!$B$4:$I$103,2,0)=登!$B$1-1,2,IF(VLOOKUP(D45,登!$B$4:$I$103,2,0)=登!$B$1-2,3,"学年ミス"))))</f>
        <v/>
      </c>
      <c r="H45" s="108" t="str">
        <f t="shared" si="0"/>
        <v/>
      </c>
      <c r="I45" s="108" t="str">
        <f>IF(D45="","",IF(VLOOKUP(D45,登!$B$4:$I$103,3,0)=1,"男","女"))</f>
        <v/>
      </c>
    </row>
    <row r="46" spans="2:9" ht="12.75" customHeight="1">
      <c r="B46" s="104"/>
      <c r="C46" s="105" t="str">
        <f>IF(D46="","",登!$F$1)</f>
        <v/>
      </c>
      <c r="D46" s="37"/>
      <c r="E46" s="105">
        <v>34</v>
      </c>
      <c r="F46" s="106" t="str">
        <f>IF(D46="","",IF(COUNTIF($D$13:D46,"")=0,VLOOKUP(D46,登!$B$4:$I$103,7,0),"１番から詰めて入力してください"))</f>
        <v/>
      </c>
      <c r="G46" s="108" t="str">
        <f>IF(D46="","",IF(VLOOKUP(D46,登!$B$4:$I$103,2,0)=登!$B$1,1,IF(VLOOKUP(D46,登!$B$4:$I$103,2,0)=登!$B$1-1,2,IF(VLOOKUP(D46,登!$B$4:$I$103,2,0)=登!$B$1-2,3,"学年ミス"))))</f>
        <v/>
      </c>
      <c r="H46" s="108" t="str">
        <f t="shared" si="0"/>
        <v/>
      </c>
      <c r="I46" s="108" t="str">
        <f>IF(D46="","",IF(VLOOKUP(D46,登!$B$4:$I$103,3,0)=1,"男","女"))</f>
        <v/>
      </c>
    </row>
    <row r="47" spans="2:9" ht="12.75" customHeight="1">
      <c r="B47" s="104"/>
      <c r="C47" s="105" t="str">
        <f>IF(D47="","",登!$F$1)</f>
        <v/>
      </c>
      <c r="D47" s="37"/>
      <c r="E47" s="105">
        <v>35</v>
      </c>
      <c r="F47" s="106" t="str">
        <f>IF(D47="","",IF(COUNTIF($D$13:D47,"")=0,VLOOKUP(D47,登!$B$4:$I$103,7,0),"１番から詰めて入力してください"))</f>
        <v/>
      </c>
      <c r="G47" s="108" t="str">
        <f>IF(D47="","",IF(VLOOKUP(D47,登!$B$4:$I$103,2,0)=登!$B$1,1,IF(VLOOKUP(D47,登!$B$4:$I$103,2,0)=登!$B$1-1,2,IF(VLOOKUP(D47,登!$B$4:$I$103,2,0)=登!$B$1-2,3,"学年ミス"))))</f>
        <v/>
      </c>
      <c r="H47" s="108" t="str">
        <f t="shared" si="0"/>
        <v/>
      </c>
      <c r="I47" s="108" t="str">
        <f>IF(D47="","",IF(VLOOKUP(D47,登!$B$4:$I$103,3,0)=1,"男","女"))</f>
        <v/>
      </c>
    </row>
    <row r="48" spans="2:9" ht="12.75" customHeight="1">
      <c r="B48" s="104"/>
      <c r="C48" s="105" t="str">
        <f>IF(D48="","",登!$F$1)</f>
        <v/>
      </c>
      <c r="D48" s="37"/>
      <c r="E48" s="105">
        <v>36</v>
      </c>
      <c r="F48" s="106" t="str">
        <f>IF(D48="","",IF(COUNTIF($D$13:D48,"")=0,VLOOKUP(D48,登!$B$4:$I$103,7,0),"１番から詰めて入力してください"))</f>
        <v/>
      </c>
      <c r="G48" s="108" t="str">
        <f>IF(D48="","",IF(VLOOKUP(D48,登!$B$4:$I$103,2,0)=登!$B$1,1,IF(VLOOKUP(D48,登!$B$4:$I$103,2,0)=登!$B$1-1,2,IF(VLOOKUP(D48,登!$B$4:$I$103,2,0)=登!$B$1-2,3,"学年ミス"))))</f>
        <v/>
      </c>
      <c r="H48" s="108" t="str">
        <f t="shared" si="0"/>
        <v/>
      </c>
      <c r="I48" s="108" t="str">
        <f>IF(D48="","",IF(VLOOKUP(D48,登!$B$4:$I$103,3,0)=1,"男","女"))</f>
        <v/>
      </c>
    </row>
    <row r="49" spans="2:9" ht="12.75" customHeight="1">
      <c r="B49" s="104"/>
      <c r="C49" s="105" t="str">
        <f>IF(D49="","",登!$F$1)</f>
        <v/>
      </c>
      <c r="D49" s="37"/>
      <c r="E49" s="105">
        <v>37</v>
      </c>
      <c r="F49" s="106" t="str">
        <f>IF(D49="","",IF(COUNTIF($D$13:D49,"")=0,VLOOKUP(D49,登!$B$4:$I$103,7,0),"１番から詰めて入力してください"))</f>
        <v/>
      </c>
      <c r="G49" s="108" t="str">
        <f>IF(D49="","",IF(VLOOKUP(D49,登!$B$4:$I$103,2,0)=登!$B$1,1,IF(VLOOKUP(D49,登!$B$4:$I$103,2,0)=登!$B$1-1,2,IF(VLOOKUP(D49,登!$B$4:$I$103,2,0)=登!$B$1-2,3,"学年ミス"))))</f>
        <v/>
      </c>
      <c r="H49" s="108" t="str">
        <f t="shared" si="0"/>
        <v/>
      </c>
      <c r="I49" s="108" t="str">
        <f>IF(D49="","",IF(VLOOKUP(D49,登!$B$4:$I$103,3,0)=1,"男","女"))</f>
        <v/>
      </c>
    </row>
    <row r="50" spans="2:9" ht="12.75" customHeight="1">
      <c r="B50" s="104"/>
      <c r="C50" s="105" t="str">
        <f>IF(D50="","",登!$F$1)</f>
        <v/>
      </c>
      <c r="D50" s="37"/>
      <c r="E50" s="105">
        <v>38</v>
      </c>
      <c r="F50" s="106" t="str">
        <f>IF(D50="","",IF(COUNTIF($D$13:D50,"")=0,VLOOKUP(D50,登!$B$4:$I$103,7,0),"１番から詰めて入力してください"))</f>
        <v/>
      </c>
      <c r="G50" s="108" t="str">
        <f>IF(D50="","",IF(VLOOKUP(D50,登!$B$4:$I$103,2,0)=登!$B$1,1,IF(VLOOKUP(D50,登!$B$4:$I$103,2,0)=登!$B$1-1,2,IF(VLOOKUP(D50,登!$B$4:$I$103,2,0)=登!$B$1-2,3,"学年ミス"))))</f>
        <v/>
      </c>
      <c r="H50" s="108" t="str">
        <f t="shared" si="0"/>
        <v/>
      </c>
      <c r="I50" s="108" t="str">
        <f>IF(D50="","",IF(VLOOKUP(D50,登!$B$4:$I$103,3,0)=1,"男","女"))</f>
        <v/>
      </c>
    </row>
    <row r="51" spans="2:9" ht="12.75" customHeight="1">
      <c r="B51" s="104"/>
      <c r="C51" s="105" t="str">
        <f>IF(D51="","",登!$F$1)</f>
        <v/>
      </c>
      <c r="D51" s="37"/>
      <c r="E51" s="105">
        <v>39</v>
      </c>
      <c r="F51" s="106" t="str">
        <f>IF(D51="","",IF(COUNTIF($D$13:D51,"")=0,VLOOKUP(D51,登!$B$4:$I$103,7,0),"１番から詰めて入力してください"))</f>
        <v/>
      </c>
      <c r="G51" s="108" t="str">
        <f>IF(D51="","",IF(VLOOKUP(D51,登!$B$4:$I$103,2,0)=登!$B$1,1,IF(VLOOKUP(D51,登!$B$4:$I$103,2,0)=登!$B$1-1,2,IF(VLOOKUP(D51,登!$B$4:$I$103,2,0)=登!$B$1-2,3,"学年ミス"))))</f>
        <v/>
      </c>
      <c r="H51" s="108" t="str">
        <f t="shared" si="0"/>
        <v/>
      </c>
      <c r="I51" s="108" t="str">
        <f>IF(D51="","",IF(VLOOKUP(D51,登!$B$4:$I$103,3,0)=1,"男","女"))</f>
        <v/>
      </c>
    </row>
    <row r="52" spans="2:9" ht="12.75" customHeight="1">
      <c r="B52" s="104"/>
      <c r="C52" s="105" t="str">
        <f>IF(D52="","",登!$F$1)</f>
        <v/>
      </c>
      <c r="D52" s="37"/>
      <c r="E52" s="105">
        <v>40</v>
      </c>
      <c r="F52" s="106" t="str">
        <f>IF(D52="","",IF(COUNTIF($D$13:D52,"")=0,VLOOKUP(D52,登!$B$4:$I$103,7,0),"１番から詰めて入力してください"))</f>
        <v/>
      </c>
      <c r="G52" s="108" t="str">
        <f>IF(D52="","",IF(VLOOKUP(D52,登!$B$4:$I$103,2,0)=登!$B$1,1,IF(VLOOKUP(D52,登!$B$4:$I$103,2,0)=登!$B$1-1,2,IF(VLOOKUP(D52,登!$B$4:$I$103,2,0)=登!$B$1-2,3,"学年ミス"))))</f>
        <v/>
      </c>
      <c r="H52" s="108" t="str">
        <f t="shared" si="0"/>
        <v/>
      </c>
      <c r="I52" s="108" t="str">
        <f>IF(D52="","",IF(VLOOKUP(D52,登!$B$4:$I$103,3,0)=1,"男","女"))</f>
        <v/>
      </c>
    </row>
    <row r="53" spans="2:9" ht="12.75" customHeight="1">
      <c r="B53" s="104"/>
      <c r="C53" s="105" t="str">
        <f>IF(D53="","",登!$F$1)</f>
        <v/>
      </c>
      <c r="D53" s="37"/>
      <c r="E53" s="105">
        <v>41</v>
      </c>
      <c r="F53" s="106" t="str">
        <f>IF(D53="","",IF(COUNTIF($D$13:D53,"")=0,VLOOKUP(D53,登!$B$4:$I$103,7,0),"１番から詰めて入力してください"))</f>
        <v/>
      </c>
      <c r="G53" s="108" t="str">
        <f>IF(D53="","",IF(VLOOKUP(D53,登!$B$4:$I$103,2,0)=登!$B$1,1,IF(VLOOKUP(D53,登!$B$4:$I$103,2,0)=登!$B$1-1,2,IF(VLOOKUP(D53,登!$B$4:$I$103,2,0)=登!$B$1-2,3,"学年ミス"))))</f>
        <v/>
      </c>
      <c r="H53" s="108" t="str">
        <f t="shared" ref="H53" si="1">IF(D53="","",IF(COUNTIF($D$13:$D$57,D53)&gt;1,"選手重複!!","OK"))</f>
        <v/>
      </c>
      <c r="I53" s="108" t="str">
        <f>IF(D53="","",IF(VLOOKUP(D53,登!$B$4:$I$103,3,0)=1,"男","女"))</f>
        <v/>
      </c>
    </row>
    <row r="54" spans="2:9" ht="12.75" customHeight="1">
      <c r="B54" s="104"/>
      <c r="C54" s="105" t="str">
        <f>IF(D54="","",登!$F$1)</f>
        <v/>
      </c>
      <c r="D54" s="37"/>
      <c r="E54" s="105">
        <v>42</v>
      </c>
      <c r="F54" s="106" t="str">
        <f>IF(D54="","",IF(COUNTIF($D$13:D54,"")=0,VLOOKUP(D54,登!$B$4:$I$103,7,0),"１番から詰めて入力してください"))</f>
        <v/>
      </c>
      <c r="G54" s="108" t="str">
        <f>IF(D54="","",IF(VLOOKUP(D54,登!$B$4:$I$103,2,0)=登!$B$1,1,IF(VLOOKUP(D54,登!$B$4:$I$103,2,0)=登!$B$1-1,2,IF(VLOOKUP(D54,登!$B$4:$I$103,2,0)=登!$B$1-2,3,"学年ミス"))))</f>
        <v/>
      </c>
      <c r="H54" s="108" t="str">
        <f t="shared" si="0"/>
        <v/>
      </c>
      <c r="I54" s="108" t="str">
        <f>IF(D54="","",IF(VLOOKUP(D54,登!$B$4:$I$103,3,0)=1,"男","女"))</f>
        <v/>
      </c>
    </row>
    <row r="55" spans="2:9" ht="12.75" customHeight="1">
      <c r="B55" s="104"/>
      <c r="C55" s="105" t="str">
        <f>IF(D55="","",登!$F$1)</f>
        <v/>
      </c>
      <c r="D55" s="37"/>
      <c r="E55" s="105">
        <v>43</v>
      </c>
      <c r="F55" s="106" t="str">
        <f>IF(D55="","",IF(COUNTIF($D$13:D55,"")=0,VLOOKUP(D55,登!$B$4:$I$103,7,0),"１番から詰めて入力してください"))</f>
        <v/>
      </c>
      <c r="G55" s="108" t="str">
        <f>IF(D55="","",IF(VLOOKUP(D55,登!$B$4:$I$103,2,0)=登!$B$1,1,IF(VLOOKUP(D55,登!$B$4:$I$103,2,0)=登!$B$1-1,2,IF(VLOOKUP(D55,登!$B$4:$I$103,2,0)=登!$B$1-2,3,"学年ミス"))))</f>
        <v/>
      </c>
      <c r="H55" s="108" t="str">
        <f t="shared" si="0"/>
        <v/>
      </c>
      <c r="I55" s="108" t="str">
        <f>IF(D55="","",IF(VLOOKUP(D55,登!$B$4:$I$103,3,0)=1,"男","女"))</f>
        <v/>
      </c>
    </row>
    <row r="56" spans="2:9" ht="12.75" customHeight="1">
      <c r="B56" s="104"/>
      <c r="C56" s="105" t="str">
        <f>IF(D56="","",登!$F$1)</f>
        <v/>
      </c>
      <c r="D56" s="37"/>
      <c r="E56" s="105">
        <v>44</v>
      </c>
      <c r="F56" s="106" t="str">
        <f>IF(D56="","",IF(COUNTIF($D$13:D56,"")=0,VLOOKUP(D56,登!$B$4:$I$103,7,0),"１番から詰めて入力してください"))</f>
        <v/>
      </c>
      <c r="G56" s="108" t="str">
        <f>IF(D56="","",IF(VLOOKUP(D56,登!$B$4:$I$103,2,0)=登!$B$1,1,IF(VLOOKUP(D56,登!$B$4:$I$103,2,0)=登!$B$1-1,2,IF(VLOOKUP(D56,登!$B$4:$I$103,2,0)=登!$B$1-2,3,"学年ミス"))))</f>
        <v/>
      </c>
      <c r="H56" s="108" t="str">
        <f t="shared" si="0"/>
        <v/>
      </c>
      <c r="I56" s="108" t="str">
        <f>IF(D56="","",IF(VLOOKUP(D56,登!$B$4:$I$103,3,0)=1,"男","女"))</f>
        <v/>
      </c>
    </row>
    <row r="57" spans="2:9" ht="12.75" customHeight="1">
      <c r="B57" s="131"/>
      <c r="C57" s="132" t="str">
        <f>IF(D57="","",登!$F$1)</f>
        <v/>
      </c>
      <c r="D57" s="38"/>
      <c r="E57" s="132">
        <v>45</v>
      </c>
      <c r="F57" s="133" t="str">
        <f>IF(D57="","",IF(COUNTIF($D$13:D57,"")=0,VLOOKUP(D57,登!$B$4:$I$103,7,0),"１番から詰めて入力してください"))</f>
        <v/>
      </c>
      <c r="G57" s="296" t="str">
        <f>IF(D57="","",IF(VLOOKUP(D57,登!$B$4:$I$103,2,0)=登!$B$1,1,IF(VLOOKUP(D57,登!$B$4:$I$103,2,0)=登!$B$1-1,2,IF(VLOOKUP(D57,登!$B$4:$I$103,2,0)=登!$B$1-2,3,"学年ミス"))))</f>
        <v/>
      </c>
      <c r="H57" s="296" t="str">
        <f t="shared" si="0"/>
        <v/>
      </c>
      <c r="I57" s="296" t="str">
        <f>IF(D57="","",IF(VLOOKUP(D57,登!$B$4:$I$103,3,0)=1,"男","女"))</f>
        <v/>
      </c>
    </row>
  </sheetData>
  <sheetProtection password="CC71" sheet="1" objects="1" scenarios="1"/>
  <mergeCells count="17">
    <mergeCell ref="B11:G11"/>
    <mergeCell ref="B8:C8"/>
    <mergeCell ref="D8:E8"/>
    <mergeCell ref="F8:G8"/>
    <mergeCell ref="B9:C9"/>
    <mergeCell ref="D9:E9"/>
    <mergeCell ref="F9:G9"/>
    <mergeCell ref="B6:C6"/>
    <mergeCell ref="D6:G6"/>
    <mergeCell ref="B7:C7"/>
    <mergeCell ref="D7:E7"/>
    <mergeCell ref="F7:G7"/>
    <mergeCell ref="C2:G2"/>
    <mergeCell ref="K2:K3"/>
    <mergeCell ref="L2:L3"/>
    <mergeCell ref="B4:C4"/>
    <mergeCell ref="D4:G4"/>
  </mergeCells>
  <phoneticPr fontId="2"/>
  <hyperlinks>
    <hyperlink ref="F9:G9" r:id="rId1" display="gunkyumi@yahoo.co.jp"/>
  </hyperlinks>
  <printOptions horizontalCentered="1"/>
  <pageMargins left="0.39370078740157483" right="0.39370078740157483" top="0.39370078740157483" bottom="0.39370078740157483" header="0" footer="0"/>
  <pageSetup paperSize="9" orientation="portrait" horizontalDpi="300" r:id="rId2"/>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tint="0.59999389629810485"/>
  </sheetPr>
  <dimension ref="A1:L56"/>
  <sheetViews>
    <sheetView zoomScaleNormal="100" workbookViewId="0"/>
  </sheetViews>
  <sheetFormatPr defaultColWidth="9" defaultRowHeight="13.5"/>
  <cols>
    <col min="1" max="3" width="6.875" style="75" customWidth="1"/>
    <col min="4" max="4" width="17.5" style="75" customWidth="1"/>
    <col min="5" max="5" width="10.875" style="75" customWidth="1"/>
    <col min="6" max="6" width="17.625" style="75" customWidth="1"/>
    <col min="7" max="7" width="10.875" style="75" customWidth="1"/>
    <col min="8" max="8" width="8.625" style="74" customWidth="1"/>
    <col min="9" max="9" width="8.625" style="75" customWidth="1"/>
    <col min="10" max="10" width="2.125" style="75" customWidth="1"/>
    <col min="11" max="16384" width="9" style="75"/>
  </cols>
  <sheetData>
    <row r="1" spans="1:12" ht="24" customHeight="1">
      <c r="B1" s="260">
        <v>1</v>
      </c>
      <c r="C1" s="424" t="str">
        <f>日!B1&amp;" 育成講習会（リーダー研修会・団体対策）"</f>
        <v>令和元年度 育成講習会（リーダー研修会・団体対策）</v>
      </c>
      <c r="D1" s="425"/>
      <c r="E1" s="425"/>
      <c r="F1" s="425"/>
      <c r="G1" s="426"/>
      <c r="K1" s="436" t="s">
        <v>258</v>
      </c>
      <c r="L1" s="436" t="s">
        <v>259</v>
      </c>
    </row>
    <row r="2" spans="1:12" ht="10.5" customHeight="1">
      <c r="B2" s="282"/>
      <c r="C2" s="282"/>
      <c r="D2" s="283"/>
      <c r="E2" s="283"/>
      <c r="F2" s="283"/>
      <c r="G2" s="283"/>
      <c r="K2" s="436"/>
      <c r="L2" s="436"/>
    </row>
    <row r="3" spans="1:12" ht="24.75" customHeight="1">
      <c r="B3" s="436" t="s">
        <v>260</v>
      </c>
      <c r="C3" s="436"/>
      <c r="D3" s="457" t="str">
        <f>IF(K4="","",IF(LENB(K4)+LENB(L4)&gt;=14,K4&amp;L4,IF(LENB(L4)=8,IF(LENB(K4)&lt;=6,IF(LENB(K4)=2,K4&amp;"　　",IF(LENB(K4)=4,LEFT(K4,1)&amp;"　"&amp;RIGHT(K4,1),K4)),K4),IF(LENB(K4)&lt;=6,IF(LENB(K4)=2,K4&amp;"　　　",IF(LENB(K4)=4,LEFT(K4,1)&amp;"　"&amp;RIGHT(K4,1)&amp;"　",K4&amp;"　")),K4)))&amp;IF(K4="","",IF(LENB(K4)+LENB(L4)&gt;=14,"",IF(LENB(L4)=2,"　　"&amp;L4,IF(LENB(L4)=4,LEFT(L4,1)&amp;"　"&amp;RIGHT(L4,1),L4)))))</f>
        <v>○　○　○　○</v>
      </c>
      <c r="E3" s="457"/>
      <c r="F3" s="457"/>
      <c r="G3" s="457"/>
      <c r="K3" s="62" t="s">
        <v>531</v>
      </c>
      <c r="L3" s="62" t="s">
        <v>531</v>
      </c>
    </row>
    <row r="4" spans="1:12" ht="10.5" customHeight="1">
      <c r="B4" s="282"/>
      <c r="C4" s="282"/>
      <c r="D4" s="283"/>
      <c r="E4" s="283"/>
      <c r="F4" s="283"/>
      <c r="G4" s="283"/>
      <c r="K4" s="284" t="str">
        <f>SUBSTITUTE(SUBSTITUTE(K3," ",""),"　","")</f>
        <v>○○</v>
      </c>
      <c r="L4" s="284" t="str">
        <f>SUBSTITUTE(SUBSTITUTE(L3," ",""),"　","")</f>
        <v>○○</v>
      </c>
    </row>
    <row r="5" spans="1:12" ht="18.75" customHeight="1">
      <c r="B5" s="458" t="s">
        <v>39</v>
      </c>
      <c r="C5" s="458"/>
      <c r="D5" s="459">
        <v>20</v>
      </c>
      <c r="E5" s="460"/>
      <c r="F5" s="459">
        <v>21</v>
      </c>
      <c r="G5" s="460"/>
      <c r="I5" s="264"/>
    </row>
    <row r="6" spans="1:12" ht="18.75" customHeight="1">
      <c r="B6" s="458" t="s">
        <v>40</v>
      </c>
      <c r="C6" s="458"/>
      <c r="D6" s="287">
        <f>VLOOKUP(D5,日!$B$2:$F$111,3,0)</f>
        <v>43811</v>
      </c>
      <c r="E6" s="288" t="str">
        <f>TEXT(WEEKDAY(D6,1),"aaaa")</f>
        <v>木曜日</v>
      </c>
      <c r="F6" s="287">
        <f>VLOOKUP(F5,日!$B$2:$F$111,3,0)</f>
        <v>43811</v>
      </c>
      <c r="G6" s="288" t="str">
        <f>TEXT(WEEKDAY(F6,1),"aaaa")</f>
        <v>木曜日</v>
      </c>
      <c r="I6" s="264"/>
    </row>
    <row r="7" spans="1:12" ht="18.75" customHeight="1">
      <c r="B7" s="458" t="s">
        <v>253</v>
      </c>
      <c r="C7" s="458"/>
      <c r="D7" s="289">
        <f>VLOOKUP(D5,日!$B$2:$F$111,5,0)</f>
        <v>43862</v>
      </c>
      <c r="E7" s="290" t="str">
        <f>TEXT(WEEKDAY(D7,1),"aaaa")</f>
        <v>土曜日</v>
      </c>
      <c r="F7" s="289">
        <f>VLOOKUP(F5,日!$B$2:$F$111,5,0)</f>
        <v>43863</v>
      </c>
      <c r="G7" s="290" t="str">
        <f>TEXT(WEEKDAY(F7,1),"aaaa")</f>
        <v>日曜日</v>
      </c>
      <c r="I7" s="264"/>
    </row>
    <row r="8" spans="1:12" ht="18.75" customHeight="1">
      <c r="B8" s="458" t="s">
        <v>41</v>
      </c>
      <c r="C8" s="458"/>
      <c r="D8" s="459" t="s">
        <v>45</v>
      </c>
      <c r="E8" s="460"/>
      <c r="F8" s="395" t="s">
        <v>46</v>
      </c>
      <c r="G8" s="396"/>
      <c r="I8" s="264"/>
    </row>
    <row r="9" spans="1:12">
      <c r="B9" s="264"/>
      <c r="C9" s="264"/>
      <c r="D9" s="291"/>
      <c r="E9" s="291"/>
      <c r="F9" s="291"/>
      <c r="G9" s="291"/>
      <c r="I9" s="264"/>
    </row>
    <row r="10" spans="1:12" ht="21">
      <c r="A10" s="470" t="s">
        <v>256</v>
      </c>
      <c r="B10" s="414" t="s">
        <v>206</v>
      </c>
      <c r="C10" s="414"/>
      <c r="D10" s="414"/>
      <c r="E10" s="414"/>
      <c r="F10" s="414"/>
      <c r="G10" s="414"/>
    </row>
    <row r="11" spans="1:12">
      <c r="A11" s="471"/>
      <c r="B11" s="91" t="s">
        <v>257</v>
      </c>
      <c r="C11" s="92" t="s">
        <v>10</v>
      </c>
      <c r="D11" s="300" t="s">
        <v>33</v>
      </c>
      <c r="E11" s="95" t="s">
        <v>254</v>
      </c>
      <c r="F11" s="95" t="s">
        <v>13</v>
      </c>
      <c r="G11" s="96" t="s">
        <v>14</v>
      </c>
      <c r="H11" s="260" t="s">
        <v>47</v>
      </c>
      <c r="I11" s="96" t="s">
        <v>250</v>
      </c>
    </row>
    <row r="12" spans="1:12" ht="15.75" customHeight="1">
      <c r="A12" s="507"/>
      <c r="B12" s="508"/>
      <c r="C12" s="99" t="str">
        <f>IF(D12="","",登!$F$1)</f>
        <v/>
      </c>
      <c r="D12" s="504"/>
      <c r="E12" s="99" t="str">
        <f>IF(G12="","",VLOOKUP(登!$D$1,名!$B$2:$D$81,3,0))</f>
        <v/>
      </c>
      <c r="F12" s="100" t="str">
        <f>IF(D12="","",VLOOKUP(D12,登!$B$4:$I$103,7,0))</f>
        <v/>
      </c>
      <c r="G12" s="119" t="str">
        <f>IF(D12="","",IF(VLOOKUP(D12,登!$B$4:$I$103,2,0)=登!$B$1,1,IF(VLOOKUP(D12,登!$B$4:$I$103,2,0)=登!$B$1-1,2,IF(VLOOKUP(D12,登!$B$4:$I$103,2,0)=登!$B$1-2,3,"学年ミス"))))</f>
        <v/>
      </c>
      <c r="H12" s="119" t="str">
        <f>IF(D12="","",IF(COUNTIF($D$12:$D$56,D12)&gt;1,"選手重複!!","OK"))</f>
        <v/>
      </c>
      <c r="I12" s="119" t="str">
        <f>IF(D12="","",IF(VLOOKUP(D12,登!$B$4:$I$103,3,0)=1,"男","女"))</f>
        <v/>
      </c>
    </row>
    <row r="13" spans="1:12" ht="15.75" customHeight="1">
      <c r="A13" s="509"/>
      <c r="B13" s="510"/>
      <c r="C13" s="105" t="str">
        <f>IF(D13="","",登!$F$1)</f>
        <v/>
      </c>
      <c r="D13" s="505"/>
      <c r="E13" s="105" t="str">
        <f>IF(G13="","",VLOOKUP(登!$D$1,名!$B$2:$D$81,3,0))</f>
        <v/>
      </c>
      <c r="F13" s="106" t="str">
        <f>IF(D13="","",IF(COUNTIF($D$12:D13,"")=0,VLOOKUP(D13,登!$B$4:$I$103,7,0),"上から詰めて入力してください"))</f>
        <v/>
      </c>
      <c r="G13" s="108" t="str">
        <f>IF(D13="","",IF(VLOOKUP(D13,登!$B$4:$I$103,2,0)=登!$B$1,1,IF(VLOOKUP(D13,登!$B$4:$I$103,2,0)=登!$B$1-1,2,IF(VLOOKUP(D13,登!$B$4:$I$103,2,0)=登!$B$1-2,3,"学年ミス"))))</f>
        <v/>
      </c>
      <c r="H13" s="108" t="str">
        <f t="shared" ref="H13:H47" si="0">IF(D13="","",IF(COUNTIF($D$12:$D$56,D13)&gt;1,"選手重複!!","OK"))</f>
        <v/>
      </c>
      <c r="I13" s="108" t="str">
        <f>IF(D13="","",IF(VLOOKUP(D13,登!$B$4:$I$103,3,0)=1,"男","女"))</f>
        <v/>
      </c>
    </row>
    <row r="14" spans="1:12" ht="15.75" customHeight="1">
      <c r="A14" s="509"/>
      <c r="B14" s="511"/>
      <c r="C14" s="132" t="str">
        <f>IF(D14="","",登!$F$1)</f>
        <v/>
      </c>
      <c r="D14" s="506"/>
      <c r="E14" s="132" t="str">
        <f>IF(G14="","",VLOOKUP(登!$D$1,名!$B$2:$D$81,3,0))</f>
        <v/>
      </c>
      <c r="F14" s="133" t="str">
        <f>IF(D14="","",IF(COUNTIF($D$12:D14,"")=0,VLOOKUP(D14,登!$B$4:$I$103,7,0),"上から詰めて入力してください"))</f>
        <v/>
      </c>
      <c r="G14" s="296" t="str">
        <f>IF(D14="","",IF(VLOOKUP(D14,登!$B$4:$I$103,2,0)=登!$B$1,1,IF(VLOOKUP(D14,登!$B$4:$I$103,2,0)=登!$B$1-1,2,IF(VLOOKUP(D14,登!$B$4:$I$103,2,0)=登!$B$1-2,3,"学年ミス"))))</f>
        <v/>
      </c>
      <c r="H14" s="296" t="str">
        <f t="shared" si="0"/>
        <v/>
      </c>
      <c r="I14" s="296" t="str">
        <f>IF(D14="","",IF(VLOOKUP(D14,登!$B$4:$I$103,3,0)=1,"男","女"))</f>
        <v/>
      </c>
    </row>
    <row r="15" spans="1:12" ht="15.75" customHeight="1">
      <c r="A15" s="507"/>
      <c r="B15" s="512"/>
      <c r="C15" s="99" t="str">
        <f>IF(D15="","",登!$F$1)</f>
        <v/>
      </c>
      <c r="D15" s="504"/>
      <c r="E15" s="99" t="str">
        <f>IF(G15="","",VLOOKUP(登!$D$1,名!$B$2:$D$81,3,0))</f>
        <v/>
      </c>
      <c r="F15" s="100" t="str">
        <f>IF(D15="","",IF(COUNTIF($D$12:D15,"")=0,VLOOKUP(D15,登!$B$4:$I$103,7,0),"上から詰めて入力してください"))</f>
        <v/>
      </c>
      <c r="G15" s="119" t="str">
        <f>IF(D15="","",IF(VLOOKUP(D15,登!$B$4:$I$103,2,0)=登!$B$1,1,IF(VLOOKUP(D15,登!$B$4:$I$103,2,0)=登!$B$1-1,2,IF(VLOOKUP(D15,登!$B$4:$I$103,2,0)=登!$B$1-2,3,"学年ミス"))))</f>
        <v/>
      </c>
      <c r="H15" s="119" t="str">
        <f t="shared" si="0"/>
        <v/>
      </c>
      <c r="I15" s="119" t="str">
        <f>IF(D15="","",IF(VLOOKUP(D15,登!$B$4:$I$103,3,0)=1,"男","女"))</f>
        <v/>
      </c>
    </row>
    <row r="16" spans="1:12" ht="15.75" customHeight="1">
      <c r="A16" s="509"/>
      <c r="B16" s="513"/>
      <c r="C16" s="105" t="str">
        <f>IF(D16="","",登!$F$1)</f>
        <v/>
      </c>
      <c r="D16" s="505"/>
      <c r="E16" s="105" t="str">
        <f>IF(G16="","",VLOOKUP(登!$D$1,名!$B$2:$D$81,3,0))</f>
        <v/>
      </c>
      <c r="F16" s="106" t="str">
        <f>IF(D16="","",IF(COUNTIF($D$12:D16,"")=0,VLOOKUP(D16,登!$B$4:$I$103,7,0),"上から詰めて入力してください"))</f>
        <v/>
      </c>
      <c r="G16" s="108" t="str">
        <f>IF(D16="","",IF(VLOOKUP(D16,登!$B$4:$I$103,2,0)=登!$B$1,1,IF(VLOOKUP(D16,登!$B$4:$I$103,2,0)=登!$B$1-1,2,IF(VLOOKUP(D16,登!$B$4:$I$103,2,0)=登!$B$1-2,3,"学年ミス"))))</f>
        <v/>
      </c>
      <c r="H16" s="108" t="str">
        <f t="shared" si="0"/>
        <v/>
      </c>
      <c r="I16" s="108" t="str">
        <f>IF(D16="","",IF(VLOOKUP(D16,登!$B$4:$I$103,3,0)=1,"男","女"))</f>
        <v/>
      </c>
    </row>
    <row r="17" spans="1:9" ht="15.75" customHeight="1">
      <c r="A17" s="509"/>
      <c r="B17" s="514"/>
      <c r="C17" s="132" t="str">
        <f>IF(D17="","",登!$F$1)</f>
        <v/>
      </c>
      <c r="D17" s="506"/>
      <c r="E17" s="132" t="str">
        <f>IF(G17="","",VLOOKUP(登!$D$1,名!$B$2:$D$81,3,0))</f>
        <v/>
      </c>
      <c r="F17" s="133" t="str">
        <f>IF(D17="","",IF(COUNTIF($D$12:D17,"")=0,VLOOKUP(D17,登!$B$4:$I$103,7,0),"上から詰めて入力してください"))</f>
        <v/>
      </c>
      <c r="G17" s="296" t="str">
        <f>IF(D17="","",IF(VLOOKUP(D17,登!$B$4:$I$103,2,0)=登!$B$1,1,IF(VLOOKUP(D17,登!$B$4:$I$103,2,0)=登!$B$1-1,2,IF(VLOOKUP(D17,登!$B$4:$I$103,2,0)=登!$B$1-2,3,"学年ミス"))))</f>
        <v/>
      </c>
      <c r="H17" s="296" t="str">
        <f t="shared" si="0"/>
        <v/>
      </c>
      <c r="I17" s="296" t="str">
        <f>IF(D17="","",IF(VLOOKUP(D17,登!$B$4:$I$103,3,0)=1,"男","女"))</f>
        <v/>
      </c>
    </row>
    <row r="18" spans="1:9">
      <c r="A18" s="507"/>
      <c r="B18" s="512"/>
      <c r="C18" s="99" t="str">
        <f>IF(D18="","",登!$F$1)</f>
        <v/>
      </c>
      <c r="D18" s="504"/>
      <c r="E18" s="99" t="str">
        <f>IF(G18="","",VLOOKUP(登!$D$1,名!$B$2:$D$81,3,0))</f>
        <v/>
      </c>
      <c r="F18" s="100" t="str">
        <f>IF(D18="","",IF(COUNTIF($D$12:D18,"")=0,VLOOKUP(D18,登!$B$4:$I$103,7,0),"上から詰めて入力してください"))</f>
        <v/>
      </c>
      <c r="G18" s="119" t="str">
        <f>IF(D18="","",IF(VLOOKUP(D18,登!$B$4:$I$103,2,0)=登!$B$1,1,IF(VLOOKUP(D18,登!$B$4:$I$103,2,0)=登!$B$1-1,2,IF(VLOOKUP(D18,登!$B$4:$I$103,2,0)=登!$B$1-2,3,"学年ミス"))))</f>
        <v/>
      </c>
      <c r="H18" s="119" t="str">
        <f t="shared" si="0"/>
        <v/>
      </c>
      <c r="I18" s="119" t="str">
        <f>IF(D18="","",IF(VLOOKUP(D18,登!$B$4:$I$103,3,0)=1,"男","女"))</f>
        <v/>
      </c>
    </row>
    <row r="19" spans="1:9">
      <c r="A19" s="509"/>
      <c r="B19" s="513"/>
      <c r="C19" s="105" t="str">
        <f>IF(D19="","",登!$F$1)</f>
        <v/>
      </c>
      <c r="D19" s="505"/>
      <c r="E19" s="105" t="str">
        <f>IF(G19="","",VLOOKUP(登!$D$1,名!$B$2:$D$81,3,0))</f>
        <v/>
      </c>
      <c r="F19" s="106" t="str">
        <f>IF(D19="","",IF(COUNTIF($D$12:D19,"")=0,VLOOKUP(D19,登!$B$4:$I$103,7,0),"上から詰めて入力してください"))</f>
        <v/>
      </c>
      <c r="G19" s="108" t="str">
        <f>IF(D19="","",IF(VLOOKUP(D19,登!$B$4:$I$103,2,0)=登!$B$1,1,IF(VLOOKUP(D19,登!$B$4:$I$103,2,0)=登!$B$1-1,2,IF(VLOOKUP(D19,登!$B$4:$I$103,2,0)=登!$B$1-2,3,"学年ミス"))))</f>
        <v/>
      </c>
      <c r="H19" s="108" t="str">
        <f t="shared" si="0"/>
        <v/>
      </c>
      <c r="I19" s="108" t="str">
        <f>IF(D19="","",IF(VLOOKUP(D19,登!$B$4:$I$103,3,0)=1,"男","女"))</f>
        <v/>
      </c>
    </row>
    <row r="20" spans="1:9">
      <c r="A20" s="509"/>
      <c r="B20" s="514"/>
      <c r="C20" s="132" t="str">
        <f>IF(D20="","",登!$F$1)</f>
        <v/>
      </c>
      <c r="D20" s="506"/>
      <c r="E20" s="132" t="str">
        <f>IF(G20="","",VLOOKUP(登!$D$1,名!$B$2:$D$81,3,0))</f>
        <v/>
      </c>
      <c r="F20" s="133" t="str">
        <f>IF(D20="","",IF(COUNTIF($D$12:D20,"")=0,VLOOKUP(D20,登!$B$4:$I$103,7,0),"上から詰めて入力してください"))</f>
        <v/>
      </c>
      <c r="G20" s="296" t="str">
        <f>IF(D20="","",IF(VLOOKUP(D20,登!$B$4:$I$103,2,0)=登!$B$1,1,IF(VLOOKUP(D20,登!$B$4:$I$103,2,0)=登!$B$1-1,2,IF(VLOOKUP(D20,登!$B$4:$I$103,2,0)=登!$B$1-2,3,"学年ミス"))))</f>
        <v/>
      </c>
      <c r="H20" s="296" t="str">
        <f t="shared" si="0"/>
        <v/>
      </c>
      <c r="I20" s="296" t="str">
        <f>IF(D20="","",IF(VLOOKUP(D20,登!$B$4:$I$103,3,0)=1,"男","女"))</f>
        <v/>
      </c>
    </row>
    <row r="21" spans="1:9">
      <c r="A21" s="507"/>
      <c r="B21" s="512"/>
      <c r="C21" s="99" t="str">
        <f>IF(D21="","",登!$F$1)</f>
        <v/>
      </c>
      <c r="D21" s="504"/>
      <c r="E21" s="99" t="str">
        <f>IF(G21="","",VLOOKUP(登!$D$1,名!$B$2:$D$81,3,0))</f>
        <v/>
      </c>
      <c r="F21" s="100" t="str">
        <f>IF(D21="","",IF(COUNTIF($D$12:D21,"")=0,VLOOKUP(D21,登!$B$4:$I$103,7,0),"上から詰めて入力してください"))</f>
        <v/>
      </c>
      <c r="G21" s="119" t="str">
        <f>IF(D21="","",IF(VLOOKUP(D21,登!$B$4:$I$103,2,0)=登!$B$1,1,IF(VLOOKUP(D21,登!$B$4:$I$103,2,0)=登!$B$1-1,2,IF(VLOOKUP(D21,登!$B$4:$I$103,2,0)=登!$B$1-2,3,"学年ミス"))))</f>
        <v/>
      </c>
      <c r="H21" s="119" t="str">
        <f t="shared" si="0"/>
        <v/>
      </c>
      <c r="I21" s="119" t="str">
        <f>IF(D21="","",IF(VLOOKUP(D21,登!$B$4:$I$103,3,0)=1,"男","女"))</f>
        <v/>
      </c>
    </row>
    <row r="22" spans="1:9">
      <c r="A22" s="509"/>
      <c r="B22" s="513"/>
      <c r="C22" s="105" t="str">
        <f>IF(D22="","",登!$F$1)</f>
        <v/>
      </c>
      <c r="D22" s="505"/>
      <c r="E22" s="105" t="str">
        <f>IF(G22="","",VLOOKUP(登!$D$1,名!$B$2:$D$81,3,0))</f>
        <v/>
      </c>
      <c r="F22" s="106" t="str">
        <f>IF(D22="","",IF(COUNTIF($D$12:D22,"")=0,VLOOKUP(D22,登!$B$4:$I$103,7,0),"上から詰めて入力してください"))</f>
        <v/>
      </c>
      <c r="G22" s="108" t="str">
        <f>IF(D22="","",IF(VLOOKUP(D22,登!$B$4:$I$103,2,0)=登!$B$1,1,IF(VLOOKUP(D22,登!$B$4:$I$103,2,0)=登!$B$1-1,2,IF(VLOOKUP(D22,登!$B$4:$I$103,2,0)=登!$B$1-2,3,"学年ミス"))))</f>
        <v/>
      </c>
      <c r="H22" s="108" t="str">
        <f t="shared" si="0"/>
        <v/>
      </c>
      <c r="I22" s="108" t="str">
        <f>IF(D22="","",IF(VLOOKUP(D22,登!$B$4:$I$103,3,0)=1,"男","女"))</f>
        <v/>
      </c>
    </row>
    <row r="23" spans="1:9">
      <c r="A23" s="509"/>
      <c r="B23" s="514"/>
      <c r="C23" s="132" t="str">
        <f>IF(D23="","",登!$F$1)</f>
        <v/>
      </c>
      <c r="D23" s="506"/>
      <c r="E23" s="132" t="str">
        <f>IF(G23="","",VLOOKUP(登!$D$1,名!$B$2:$D$81,3,0))</f>
        <v/>
      </c>
      <c r="F23" s="133" t="str">
        <f>IF(D23="","",IF(COUNTIF($D$12:D23,"")=0,VLOOKUP(D23,登!$B$4:$I$103,7,0),"上から詰めて入力してください"))</f>
        <v/>
      </c>
      <c r="G23" s="296" t="str">
        <f>IF(D23="","",IF(VLOOKUP(D23,登!$B$4:$I$103,2,0)=登!$B$1,1,IF(VLOOKUP(D23,登!$B$4:$I$103,2,0)=登!$B$1-1,2,IF(VLOOKUP(D23,登!$B$4:$I$103,2,0)=登!$B$1-2,3,"学年ミス"))))</f>
        <v/>
      </c>
      <c r="H23" s="296" t="str">
        <f t="shared" si="0"/>
        <v/>
      </c>
      <c r="I23" s="296" t="str">
        <f>IF(D23="","",IF(VLOOKUP(D23,登!$B$4:$I$103,3,0)=1,"男","女"))</f>
        <v/>
      </c>
    </row>
    <row r="24" spans="1:9">
      <c r="A24" s="507"/>
      <c r="B24" s="512"/>
      <c r="C24" s="99" t="str">
        <f>IF(D24="","",登!$F$1)</f>
        <v/>
      </c>
      <c r="D24" s="504"/>
      <c r="E24" s="99" t="str">
        <f>IF(G24="","",VLOOKUP(登!$D$1,名!$B$2:$D$81,3,0))</f>
        <v/>
      </c>
      <c r="F24" s="100" t="str">
        <f>IF(D24="","",IF(COUNTIF($D$12:D24,"")=0,VLOOKUP(D24,登!$B$4:$I$103,7,0),"上から詰めて入力してください"))</f>
        <v/>
      </c>
      <c r="G24" s="119" t="str">
        <f>IF(D24="","",IF(VLOOKUP(D24,登!$B$4:$I$103,2,0)=登!$B$1,1,IF(VLOOKUP(D24,登!$B$4:$I$103,2,0)=登!$B$1-1,2,IF(VLOOKUP(D24,登!$B$4:$I$103,2,0)=登!$B$1-2,3,"学年ミス"))))</f>
        <v/>
      </c>
      <c r="H24" s="119" t="str">
        <f t="shared" si="0"/>
        <v/>
      </c>
      <c r="I24" s="119" t="str">
        <f>IF(D24="","",IF(VLOOKUP(D24,登!$B$4:$I$103,3,0)=1,"男","女"))</f>
        <v/>
      </c>
    </row>
    <row r="25" spans="1:9">
      <c r="A25" s="509"/>
      <c r="B25" s="513"/>
      <c r="C25" s="105" t="str">
        <f>IF(D25="","",登!$F$1)</f>
        <v/>
      </c>
      <c r="D25" s="505"/>
      <c r="E25" s="105" t="str">
        <f>IF(G25="","",VLOOKUP(登!$D$1,名!$B$2:$D$81,3,0))</f>
        <v/>
      </c>
      <c r="F25" s="106" t="str">
        <f>IF(D25="","",IF(COUNTIF($D$12:D25,"")=0,VLOOKUP(D25,登!$B$4:$I$103,7,0),"上から詰めて入力してください"))</f>
        <v/>
      </c>
      <c r="G25" s="108" t="str">
        <f>IF(D25="","",IF(VLOOKUP(D25,登!$B$4:$I$103,2,0)=登!$B$1,1,IF(VLOOKUP(D25,登!$B$4:$I$103,2,0)=登!$B$1-1,2,IF(VLOOKUP(D25,登!$B$4:$I$103,2,0)=登!$B$1-2,3,"学年ミス"))))</f>
        <v/>
      </c>
      <c r="H25" s="108" t="str">
        <f t="shared" si="0"/>
        <v/>
      </c>
      <c r="I25" s="108" t="str">
        <f>IF(D25="","",IF(VLOOKUP(D25,登!$B$4:$I$103,3,0)=1,"男","女"))</f>
        <v/>
      </c>
    </row>
    <row r="26" spans="1:9">
      <c r="A26" s="509"/>
      <c r="B26" s="514"/>
      <c r="C26" s="132" t="str">
        <f>IF(D26="","",登!$F$1)</f>
        <v/>
      </c>
      <c r="D26" s="506"/>
      <c r="E26" s="132" t="str">
        <f>IF(G26="","",VLOOKUP(登!$D$1,名!$B$2:$D$81,3,0))</f>
        <v/>
      </c>
      <c r="F26" s="133" t="str">
        <f>IF(D26="","",IF(COUNTIF($D$12:D26,"")=0,VLOOKUP(D26,登!$B$4:$I$103,7,0),"上から詰めて入力してください"))</f>
        <v/>
      </c>
      <c r="G26" s="296" t="str">
        <f>IF(D26="","",IF(VLOOKUP(D26,登!$B$4:$I$103,2,0)=登!$B$1,1,IF(VLOOKUP(D26,登!$B$4:$I$103,2,0)=登!$B$1-1,2,IF(VLOOKUP(D26,登!$B$4:$I$103,2,0)=登!$B$1-2,3,"学年ミス"))))</f>
        <v/>
      </c>
      <c r="H26" s="296" t="str">
        <f t="shared" si="0"/>
        <v/>
      </c>
      <c r="I26" s="296" t="str">
        <f>IF(D26="","",IF(VLOOKUP(D26,登!$B$4:$I$103,3,0)=1,"男","女"))</f>
        <v/>
      </c>
    </row>
    <row r="27" spans="1:9">
      <c r="A27" s="507"/>
      <c r="B27" s="512"/>
      <c r="C27" s="99" t="str">
        <f>IF(D27="","",登!$F$1)</f>
        <v/>
      </c>
      <c r="D27" s="504"/>
      <c r="E27" s="99" t="str">
        <f>IF(G27="","",VLOOKUP(登!$D$1,名!$B$2:$D$81,3,0))</f>
        <v/>
      </c>
      <c r="F27" s="100" t="str">
        <f>IF(D27="","",IF(COUNTIF($D$12:D27,"")=0,VLOOKUP(D27,登!$B$4:$I$103,7,0),"上から詰めて入力してください"))</f>
        <v/>
      </c>
      <c r="G27" s="119" t="str">
        <f>IF(D27="","",IF(VLOOKUP(D27,登!$B$4:$I$103,2,0)=登!$B$1,1,IF(VLOOKUP(D27,登!$B$4:$I$103,2,0)=登!$B$1-1,2,IF(VLOOKUP(D27,登!$B$4:$I$103,2,0)=登!$B$1-2,3,"学年ミス"))))</f>
        <v/>
      </c>
      <c r="H27" s="119" t="str">
        <f t="shared" si="0"/>
        <v/>
      </c>
      <c r="I27" s="119" t="str">
        <f>IF(D27="","",IF(VLOOKUP(D27,登!$B$4:$I$103,3,0)=1,"男","女"))</f>
        <v/>
      </c>
    </row>
    <row r="28" spans="1:9">
      <c r="A28" s="509"/>
      <c r="B28" s="513"/>
      <c r="C28" s="105" t="str">
        <f>IF(D28="","",登!$F$1)</f>
        <v/>
      </c>
      <c r="D28" s="505"/>
      <c r="E28" s="105" t="str">
        <f>IF(G28="","",VLOOKUP(登!$D$1,名!$B$2:$D$81,3,0))</f>
        <v/>
      </c>
      <c r="F28" s="106" t="str">
        <f>IF(D28="","",IF(COUNTIF($D$12:D28,"")=0,VLOOKUP(D28,登!$B$4:$I$103,7,0),"上から詰めて入力してください"))</f>
        <v/>
      </c>
      <c r="G28" s="108" t="str">
        <f>IF(D28="","",IF(VLOOKUP(D28,登!$B$4:$I$103,2,0)=登!$B$1,1,IF(VLOOKUP(D28,登!$B$4:$I$103,2,0)=登!$B$1-1,2,IF(VLOOKUP(D28,登!$B$4:$I$103,2,0)=登!$B$1-2,3,"学年ミス"))))</f>
        <v/>
      </c>
      <c r="H28" s="108" t="str">
        <f t="shared" si="0"/>
        <v/>
      </c>
      <c r="I28" s="108" t="str">
        <f>IF(D28="","",IF(VLOOKUP(D28,登!$B$4:$I$103,3,0)=1,"男","女"))</f>
        <v/>
      </c>
    </row>
    <row r="29" spans="1:9">
      <c r="A29" s="509"/>
      <c r="B29" s="514"/>
      <c r="C29" s="132" t="str">
        <f>IF(D29="","",登!$F$1)</f>
        <v/>
      </c>
      <c r="D29" s="506"/>
      <c r="E29" s="132" t="str">
        <f>IF(G29="","",VLOOKUP(登!$D$1,名!$B$2:$D$81,3,0))</f>
        <v/>
      </c>
      <c r="F29" s="133" t="str">
        <f>IF(D29="","",IF(COUNTIF($D$12:D29,"")=0,VLOOKUP(D29,登!$B$4:$I$103,7,0),"上から詰めて入力してください"))</f>
        <v/>
      </c>
      <c r="G29" s="296" t="str">
        <f>IF(D29="","",IF(VLOOKUP(D29,登!$B$4:$I$103,2,0)=登!$B$1,1,IF(VLOOKUP(D29,登!$B$4:$I$103,2,0)=登!$B$1-1,2,IF(VLOOKUP(D29,登!$B$4:$I$103,2,0)=登!$B$1-2,3,"学年ミス"))))</f>
        <v/>
      </c>
      <c r="H29" s="296" t="str">
        <f t="shared" si="0"/>
        <v/>
      </c>
      <c r="I29" s="296" t="str">
        <f>IF(D29="","",IF(VLOOKUP(D29,登!$B$4:$I$103,3,0)=1,"男","女"))</f>
        <v/>
      </c>
    </row>
    <row r="30" spans="1:9">
      <c r="A30" s="507"/>
      <c r="B30" s="512"/>
      <c r="C30" s="99" t="str">
        <f>IF(D30="","",登!$F$1)</f>
        <v/>
      </c>
      <c r="D30" s="504"/>
      <c r="E30" s="99" t="str">
        <f>IF(G30="","",VLOOKUP(登!$D$1,名!$B$2:$D$81,3,0))</f>
        <v/>
      </c>
      <c r="F30" s="100" t="str">
        <f>IF(D30="","",IF(COUNTIF($D$12:D30,"")=0,VLOOKUP(D30,登!$B$4:$I$103,7,0),"上から詰めて入力してください"))</f>
        <v/>
      </c>
      <c r="G30" s="119" t="str">
        <f>IF(D30="","",IF(VLOOKUP(D30,登!$B$4:$I$103,2,0)=登!$B$1,1,IF(VLOOKUP(D30,登!$B$4:$I$103,2,0)=登!$B$1-1,2,IF(VLOOKUP(D30,登!$B$4:$I$103,2,0)=登!$B$1-2,3,"学年ミス"))))</f>
        <v/>
      </c>
      <c r="H30" s="119" t="str">
        <f t="shared" si="0"/>
        <v/>
      </c>
      <c r="I30" s="119" t="str">
        <f>IF(D30="","",IF(VLOOKUP(D30,登!$B$4:$I$103,3,0)=1,"男","女"))</f>
        <v/>
      </c>
    </row>
    <row r="31" spans="1:9">
      <c r="A31" s="509"/>
      <c r="B31" s="513"/>
      <c r="C31" s="105" t="str">
        <f>IF(D31="","",登!$F$1)</f>
        <v/>
      </c>
      <c r="D31" s="505"/>
      <c r="E31" s="105" t="str">
        <f>IF(G31="","",VLOOKUP(登!$D$1,名!$B$2:$D$81,3,0))</f>
        <v/>
      </c>
      <c r="F31" s="106" t="str">
        <f>IF(D31="","",IF(COUNTIF($D$12:D31,"")=0,VLOOKUP(D31,登!$B$4:$I$103,7,0),"上から詰めて入力してください"))</f>
        <v/>
      </c>
      <c r="G31" s="108" t="str">
        <f>IF(D31="","",IF(VLOOKUP(D31,登!$B$4:$I$103,2,0)=登!$B$1,1,IF(VLOOKUP(D31,登!$B$4:$I$103,2,0)=登!$B$1-1,2,IF(VLOOKUP(D31,登!$B$4:$I$103,2,0)=登!$B$1-2,3,"学年ミス"))))</f>
        <v/>
      </c>
      <c r="H31" s="108" t="str">
        <f t="shared" si="0"/>
        <v/>
      </c>
      <c r="I31" s="108" t="str">
        <f>IF(D31="","",IF(VLOOKUP(D31,登!$B$4:$I$103,3,0)=1,"男","女"))</f>
        <v/>
      </c>
    </row>
    <row r="32" spans="1:9">
      <c r="A32" s="509"/>
      <c r="B32" s="514"/>
      <c r="C32" s="132" t="str">
        <f>IF(D32="","",登!$F$1)</f>
        <v/>
      </c>
      <c r="D32" s="506"/>
      <c r="E32" s="132" t="str">
        <f>IF(G32="","",VLOOKUP(登!$D$1,名!$B$2:$D$81,3,0))</f>
        <v/>
      </c>
      <c r="F32" s="133" t="str">
        <f>IF(D32="","",IF(COUNTIF($D$12:D32,"")=0,VLOOKUP(D32,登!$B$4:$I$103,7,0),"上から詰めて入力してください"))</f>
        <v/>
      </c>
      <c r="G32" s="296" t="str">
        <f>IF(D32="","",IF(VLOOKUP(D32,登!$B$4:$I$103,2,0)=登!$B$1,1,IF(VLOOKUP(D32,登!$B$4:$I$103,2,0)=登!$B$1-1,2,IF(VLOOKUP(D32,登!$B$4:$I$103,2,0)=登!$B$1-2,3,"学年ミス"))))</f>
        <v/>
      </c>
      <c r="H32" s="296" t="str">
        <f t="shared" si="0"/>
        <v/>
      </c>
      <c r="I32" s="296" t="str">
        <f>IF(D32="","",IF(VLOOKUP(D32,登!$B$4:$I$103,3,0)=1,"男","女"))</f>
        <v/>
      </c>
    </row>
    <row r="33" spans="1:9">
      <c r="A33" s="507"/>
      <c r="B33" s="512"/>
      <c r="C33" s="99" t="str">
        <f>IF(D33="","",登!$F$1)</f>
        <v/>
      </c>
      <c r="D33" s="504"/>
      <c r="E33" s="99" t="str">
        <f>IF(G33="","",VLOOKUP(登!$D$1,名!$B$2:$D$81,3,0))</f>
        <v/>
      </c>
      <c r="F33" s="100" t="str">
        <f>IF(D33="","",IF(COUNTIF($D$12:D33,"")=0,VLOOKUP(D33,登!$B$4:$I$103,7,0),"上から詰めて入力してください"))</f>
        <v/>
      </c>
      <c r="G33" s="119" t="str">
        <f>IF(D33="","",IF(VLOOKUP(D33,登!$B$4:$I$103,2,0)=登!$B$1,1,IF(VLOOKUP(D33,登!$B$4:$I$103,2,0)=登!$B$1-1,2,IF(VLOOKUP(D33,登!$B$4:$I$103,2,0)=登!$B$1-2,3,"学年ミス"))))</f>
        <v/>
      </c>
      <c r="H33" s="119" t="str">
        <f t="shared" si="0"/>
        <v/>
      </c>
      <c r="I33" s="119" t="str">
        <f>IF(D33="","",IF(VLOOKUP(D33,登!$B$4:$I$103,3,0)=1,"男","女"))</f>
        <v/>
      </c>
    </row>
    <row r="34" spans="1:9">
      <c r="A34" s="509"/>
      <c r="B34" s="513"/>
      <c r="C34" s="105" t="str">
        <f>IF(D34="","",登!$F$1)</f>
        <v/>
      </c>
      <c r="D34" s="505"/>
      <c r="E34" s="105" t="str">
        <f>IF(G34="","",VLOOKUP(登!$D$1,名!$B$2:$D$81,3,0))</f>
        <v/>
      </c>
      <c r="F34" s="106" t="str">
        <f>IF(D34="","",IF(COUNTIF($D$12:D34,"")=0,VLOOKUP(D34,登!$B$4:$I$103,7,0),"上から詰めて入力してください"))</f>
        <v/>
      </c>
      <c r="G34" s="108" t="str">
        <f>IF(D34="","",IF(VLOOKUP(D34,登!$B$4:$I$103,2,0)=登!$B$1,1,IF(VLOOKUP(D34,登!$B$4:$I$103,2,0)=登!$B$1-1,2,IF(VLOOKUP(D34,登!$B$4:$I$103,2,0)=登!$B$1-2,3,"学年ミス"))))</f>
        <v/>
      </c>
      <c r="H34" s="108" t="str">
        <f t="shared" si="0"/>
        <v/>
      </c>
      <c r="I34" s="108" t="str">
        <f>IF(D34="","",IF(VLOOKUP(D34,登!$B$4:$I$103,3,0)=1,"男","女"))</f>
        <v/>
      </c>
    </row>
    <row r="35" spans="1:9">
      <c r="A35" s="509"/>
      <c r="B35" s="514"/>
      <c r="C35" s="132" t="str">
        <f>IF(D35="","",登!$F$1)</f>
        <v/>
      </c>
      <c r="D35" s="506"/>
      <c r="E35" s="132" t="str">
        <f>IF(G35="","",VLOOKUP(登!$D$1,名!$B$2:$D$81,3,0))</f>
        <v/>
      </c>
      <c r="F35" s="133" t="str">
        <f>IF(D35="","",IF(COUNTIF($D$12:D35,"")=0,VLOOKUP(D35,登!$B$4:$I$103,7,0),"上から詰めて入力してください"))</f>
        <v/>
      </c>
      <c r="G35" s="296" t="str">
        <f>IF(D35="","",IF(VLOOKUP(D35,登!$B$4:$I$103,2,0)=登!$B$1,1,IF(VLOOKUP(D35,登!$B$4:$I$103,2,0)=登!$B$1-1,2,IF(VLOOKUP(D35,登!$B$4:$I$103,2,0)=登!$B$1-2,3,"学年ミス"))))</f>
        <v/>
      </c>
      <c r="H35" s="296" t="str">
        <f t="shared" si="0"/>
        <v/>
      </c>
      <c r="I35" s="296" t="str">
        <f>IF(D35="","",IF(VLOOKUP(D35,登!$B$4:$I$103,3,0)=1,"男","女"))</f>
        <v/>
      </c>
    </row>
    <row r="36" spans="1:9">
      <c r="A36" s="507"/>
      <c r="B36" s="512"/>
      <c r="C36" s="99" t="str">
        <f>IF(D36="","",登!$F$1)</f>
        <v/>
      </c>
      <c r="D36" s="504"/>
      <c r="E36" s="99" t="str">
        <f>IF(G36="","",VLOOKUP(登!$D$1,名!$B$2:$D$81,3,0))</f>
        <v/>
      </c>
      <c r="F36" s="100" t="str">
        <f>IF(D36="","",IF(COUNTIF($D$12:D36,"")=0,VLOOKUP(D36,登!$B$4:$I$103,7,0),"上から詰めて入力してください"))</f>
        <v/>
      </c>
      <c r="G36" s="119" t="str">
        <f>IF(D36="","",IF(VLOOKUP(D36,登!$B$4:$I$103,2,0)=登!$B$1,1,IF(VLOOKUP(D36,登!$B$4:$I$103,2,0)=登!$B$1-1,2,IF(VLOOKUP(D36,登!$B$4:$I$103,2,0)=登!$B$1-2,3,"学年ミス"))))</f>
        <v/>
      </c>
      <c r="H36" s="119" t="str">
        <f t="shared" si="0"/>
        <v/>
      </c>
      <c r="I36" s="119" t="str">
        <f>IF(D36="","",IF(VLOOKUP(D36,登!$B$4:$I$103,3,0)=1,"男","女"))</f>
        <v/>
      </c>
    </row>
    <row r="37" spans="1:9">
      <c r="A37" s="509"/>
      <c r="B37" s="513"/>
      <c r="C37" s="105" t="str">
        <f>IF(D37="","",登!$F$1)</f>
        <v/>
      </c>
      <c r="D37" s="505"/>
      <c r="E37" s="105" t="str">
        <f>IF(G37="","",VLOOKUP(登!$D$1,名!$B$2:$D$81,3,0))</f>
        <v/>
      </c>
      <c r="F37" s="106" t="str">
        <f>IF(D37="","",IF(COUNTIF($D$12:D37,"")=0,VLOOKUP(D37,登!$B$4:$I$103,7,0),"上から詰めて入力してください"))</f>
        <v/>
      </c>
      <c r="G37" s="108" t="str">
        <f>IF(D37="","",IF(VLOOKUP(D37,登!$B$4:$I$103,2,0)=登!$B$1,1,IF(VLOOKUP(D37,登!$B$4:$I$103,2,0)=登!$B$1-1,2,IF(VLOOKUP(D37,登!$B$4:$I$103,2,0)=登!$B$1-2,3,"学年ミス"))))</f>
        <v/>
      </c>
      <c r="H37" s="108" t="str">
        <f t="shared" si="0"/>
        <v/>
      </c>
      <c r="I37" s="108" t="str">
        <f>IF(D37="","",IF(VLOOKUP(D37,登!$B$4:$I$103,3,0)=1,"男","女"))</f>
        <v/>
      </c>
    </row>
    <row r="38" spans="1:9">
      <c r="A38" s="509"/>
      <c r="B38" s="514"/>
      <c r="C38" s="132" t="str">
        <f>IF(D38="","",登!$F$1)</f>
        <v/>
      </c>
      <c r="D38" s="506"/>
      <c r="E38" s="132" t="str">
        <f>IF(G38="","",VLOOKUP(登!$D$1,名!$B$2:$D$81,3,0))</f>
        <v/>
      </c>
      <c r="F38" s="133" t="str">
        <f>IF(D38="","",IF(COUNTIF($D$12:D38,"")=0,VLOOKUP(D38,登!$B$4:$I$103,7,0),"上から詰めて入力してください"))</f>
        <v/>
      </c>
      <c r="G38" s="296" t="str">
        <f>IF(D38="","",IF(VLOOKUP(D38,登!$B$4:$I$103,2,0)=登!$B$1,1,IF(VLOOKUP(D38,登!$B$4:$I$103,2,0)=登!$B$1-1,2,IF(VLOOKUP(D38,登!$B$4:$I$103,2,0)=登!$B$1-2,3,"学年ミス"))))</f>
        <v/>
      </c>
      <c r="H38" s="296" t="str">
        <f t="shared" si="0"/>
        <v/>
      </c>
      <c r="I38" s="296" t="str">
        <f>IF(D38="","",IF(VLOOKUP(D38,登!$B$4:$I$103,3,0)=1,"男","女"))</f>
        <v/>
      </c>
    </row>
    <row r="39" spans="1:9">
      <c r="A39" s="507"/>
      <c r="B39" s="512"/>
      <c r="C39" s="99" t="str">
        <f>IF(D39="","",登!$F$1)</f>
        <v/>
      </c>
      <c r="D39" s="504"/>
      <c r="E39" s="99" t="str">
        <f>IF(G39="","",VLOOKUP(登!$D$1,名!$B$2:$D$81,3,0))</f>
        <v/>
      </c>
      <c r="F39" s="100" t="str">
        <f>IF(D39="","",IF(COUNTIF($D$12:D39,"")=0,VLOOKUP(D39,登!$B$4:$I$103,7,0),"上から詰めて入力してください"))</f>
        <v/>
      </c>
      <c r="G39" s="119" t="str">
        <f>IF(D39="","",IF(VLOOKUP(D39,登!$B$4:$I$103,2,0)=登!$B$1,1,IF(VLOOKUP(D39,登!$B$4:$I$103,2,0)=登!$B$1-1,2,IF(VLOOKUP(D39,登!$B$4:$I$103,2,0)=登!$B$1-2,3,"学年ミス"))))</f>
        <v/>
      </c>
      <c r="H39" s="119" t="str">
        <f t="shared" si="0"/>
        <v/>
      </c>
      <c r="I39" s="119" t="str">
        <f>IF(D39="","",IF(VLOOKUP(D39,登!$B$4:$I$103,3,0)=1,"男","女"))</f>
        <v/>
      </c>
    </row>
    <row r="40" spans="1:9">
      <c r="A40" s="509"/>
      <c r="B40" s="513"/>
      <c r="C40" s="105" t="str">
        <f>IF(D40="","",登!$F$1)</f>
        <v/>
      </c>
      <c r="D40" s="505"/>
      <c r="E40" s="105" t="str">
        <f>IF(G40="","",VLOOKUP(登!$D$1,名!$B$2:$D$81,3,0))</f>
        <v/>
      </c>
      <c r="F40" s="106" t="str">
        <f>IF(D40="","",IF(COUNTIF($D$12:D40,"")=0,VLOOKUP(D40,登!$B$4:$I$103,7,0),"上から詰めて入力してください"))</f>
        <v/>
      </c>
      <c r="G40" s="108" t="str">
        <f>IF(D40="","",IF(VLOOKUP(D40,登!$B$4:$I$103,2,0)=登!$B$1,1,IF(VLOOKUP(D40,登!$B$4:$I$103,2,0)=登!$B$1-1,2,IF(VLOOKUP(D40,登!$B$4:$I$103,2,0)=登!$B$1-2,3,"学年ミス"))))</f>
        <v/>
      </c>
      <c r="H40" s="108" t="str">
        <f t="shared" si="0"/>
        <v/>
      </c>
      <c r="I40" s="108" t="str">
        <f>IF(D40="","",IF(VLOOKUP(D40,登!$B$4:$I$103,3,0)=1,"男","女"))</f>
        <v/>
      </c>
    </row>
    <row r="41" spans="1:9">
      <c r="A41" s="509"/>
      <c r="B41" s="514"/>
      <c r="C41" s="132" t="str">
        <f>IF(D41="","",登!$F$1)</f>
        <v/>
      </c>
      <c r="D41" s="506"/>
      <c r="E41" s="132" t="str">
        <f>IF(G41="","",VLOOKUP(登!$D$1,名!$B$2:$D$81,3,0))</f>
        <v/>
      </c>
      <c r="F41" s="133" t="str">
        <f>IF(D41="","",IF(COUNTIF($D$12:D41,"")=0,VLOOKUP(D41,登!$B$4:$I$103,7,0),"上から詰めて入力してください"))</f>
        <v/>
      </c>
      <c r="G41" s="296" t="str">
        <f>IF(D41="","",IF(VLOOKUP(D41,登!$B$4:$I$103,2,0)=登!$B$1,1,IF(VLOOKUP(D41,登!$B$4:$I$103,2,0)=登!$B$1-1,2,IF(VLOOKUP(D41,登!$B$4:$I$103,2,0)=登!$B$1-2,3,"学年ミス"))))</f>
        <v/>
      </c>
      <c r="H41" s="296" t="str">
        <f t="shared" si="0"/>
        <v/>
      </c>
      <c r="I41" s="296" t="str">
        <f>IF(D41="","",IF(VLOOKUP(D41,登!$B$4:$I$103,3,0)=1,"男","女"))</f>
        <v/>
      </c>
    </row>
    <row r="42" spans="1:9">
      <c r="A42" s="507"/>
      <c r="B42" s="512"/>
      <c r="C42" s="99" t="str">
        <f>IF(D42="","",登!$F$1)</f>
        <v/>
      </c>
      <c r="D42" s="504"/>
      <c r="E42" s="99" t="str">
        <f>IF(G42="","",VLOOKUP(登!$D$1,名!$B$2:$D$81,3,0))</f>
        <v/>
      </c>
      <c r="F42" s="100" t="str">
        <f>IF(D42="","",IF(COUNTIF($D$12:D42,"")=0,VLOOKUP(D42,登!$B$4:$I$103,7,0),"上から詰めて入力してください"))</f>
        <v/>
      </c>
      <c r="G42" s="119" t="str">
        <f>IF(D42="","",IF(VLOOKUP(D42,登!$B$4:$I$103,2,0)=登!$B$1,1,IF(VLOOKUP(D42,登!$B$4:$I$103,2,0)=登!$B$1-1,2,IF(VLOOKUP(D42,登!$B$4:$I$103,2,0)=登!$B$1-2,3,"学年ミス"))))</f>
        <v/>
      </c>
      <c r="H42" s="119" t="str">
        <f t="shared" si="0"/>
        <v/>
      </c>
      <c r="I42" s="119" t="str">
        <f>IF(D42="","",IF(VLOOKUP(D42,登!$B$4:$I$103,3,0)=1,"男","女"))</f>
        <v/>
      </c>
    </row>
    <row r="43" spans="1:9">
      <c r="A43" s="509"/>
      <c r="B43" s="513"/>
      <c r="C43" s="105" t="str">
        <f>IF(D43="","",登!$F$1)</f>
        <v/>
      </c>
      <c r="D43" s="505"/>
      <c r="E43" s="105" t="str">
        <f>IF(G43="","",VLOOKUP(登!$D$1,名!$B$2:$D$81,3,0))</f>
        <v/>
      </c>
      <c r="F43" s="106" t="str">
        <f>IF(D43="","",IF(COUNTIF($D$12:D43,"")=0,VLOOKUP(D43,登!$B$4:$I$103,7,0),"上から詰めて入力してください"))</f>
        <v/>
      </c>
      <c r="G43" s="108" t="str">
        <f>IF(D43="","",IF(VLOOKUP(D43,登!$B$4:$I$103,2,0)=登!$B$1,1,IF(VLOOKUP(D43,登!$B$4:$I$103,2,0)=登!$B$1-1,2,IF(VLOOKUP(D43,登!$B$4:$I$103,2,0)=登!$B$1-2,3,"学年ミス"))))</f>
        <v/>
      </c>
      <c r="H43" s="108" t="str">
        <f t="shared" si="0"/>
        <v/>
      </c>
      <c r="I43" s="108" t="str">
        <f>IF(D43="","",IF(VLOOKUP(D43,登!$B$4:$I$103,3,0)=1,"男","女"))</f>
        <v/>
      </c>
    </row>
    <row r="44" spans="1:9">
      <c r="A44" s="509"/>
      <c r="B44" s="514"/>
      <c r="C44" s="132" t="str">
        <f>IF(D44="","",登!$F$1)</f>
        <v/>
      </c>
      <c r="D44" s="506"/>
      <c r="E44" s="132" t="str">
        <f>IF(G44="","",VLOOKUP(登!$D$1,名!$B$2:$D$81,3,0))</f>
        <v/>
      </c>
      <c r="F44" s="133" t="str">
        <f>IF(D44="","",IF(COUNTIF($D$12:D44,"")=0,VLOOKUP(D44,登!$B$4:$I$103,7,0),"上から詰めて入力してください"))</f>
        <v/>
      </c>
      <c r="G44" s="296" t="str">
        <f>IF(D44="","",IF(VLOOKUP(D44,登!$B$4:$I$103,2,0)=登!$B$1,1,IF(VLOOKUP(D44,登!$B$4:$I$103,2,0)=登!$B$1-1,2,IF(VLOOKUP(D44,登!$B$4:$I$103,2,0)=登!$B$1-2,3,"学年ミス"))))</f>
        <v/>
      </c>
      <c r="H44" s="296" t="str">
        <f t="shared" si="0"/>
        <v/>
      </c>
      <c r="I44" s="296" t="str">
        <f>IF(D44="","",IF(VLOOKUP(D44,登!$B$4:$I$103,3,0)=1,"男","女"))</f>
        <v/>
      </c>
    </row>
    <row r="45" spans="1:9">
      <c r="A45" s="507"/>
      <c r="B45" s="512"/>
      <c r="C45" s="99" t="str">
        <f>IF(D45="","",登!$F$1)</f>
        <v/>
      </c>
      <c r="D45" s="504"/>
      <c r="E45" s="99" t="str">
        <f>IF(G45="","",VLOOKUP(登!$D$1,名!$B$2:$D$81,3,0))</f>
        <v/>
      </c>
      <c r="F45" s="100" t="str">
        <f>IF(D45="","",IF(COUNTIF($D$12:D45,"")=0,VLOOKUP(D45,登!$B$4:$I$103,7,0),"上から詰めて入力してください"))</f>
        <v/>
      </c>
      <c r="G45" s="119" t="str">
        <f>IF(D45="","",IF(VLOOKUP(D45,登!$B$4:$I$103,2,0)=登!$B$1,1,IF(VLOOKUP(D45,登!$B$4:$I$103,2,0)=登!$B$1-1,2,IF(VLOOKUP(D45,登!$B$4:$I$103,2,0)=登!$B$1-2,3,"学年ミス"))))</f>
        <v/>
      </c>
      <c r="H45" s="119" t="str">
        <f t="shared" si="0"/>
        <v/>
      </c>
      <c r="I45" s="119" t="str">
        <f>IF(D45="","",IF(VLOOKUP(D45,登!$B$4:$I$103,3,0)=1,"男","女"))</f>
        <v/>
      </c>
    </row>
    <row r="46" spans="1:9">
      <c r="A46" s="509"/>
      <c r="B46" s="513"/>
      <c r="C46" s="105" t="str">
        <f>IF(D46="","",登!$F$1)</f>
        <v/>
      </c>
      <c r="D46" s="505"/>
      <c r="E46" s="105" t="str">
        <f>IF(G46="","",VLOOKUP(登!$D$1,名!$B$2:$D$81,3,0))</f>
        <v/>
      </c>
      <c r="F46" s="106" t="str">
        <f>IF(D46="","",IF(COUNTIF($D$12:D46,"")=0,VLOOKUP(D46,登!$B$4:$I$103,7,0),"上から詰めて入力してください"))</f>
        <v/>
      </c>
      <c r="G46" s="108" t="str">
        <f>IF(D46="","",IF(VLOOKUP(D46,登!$B$4:$I$103,2,0)=登!$B$1,1,IF(VLOOKUP(D46,登!$B$4:$I$103,2,0)=登!$B$1-1,2,IF(VLOOKUP(D46,登!$B$4:$I$103,2,0)=登!$B$1-2,3,"学年ミス"))))</f>
        <v/>
      </c>
      <c r="H46" s="108" t="str">
        <f t="shared" si="0"/>
        <v/>
      </c>
      <c r="I46" s="108" t="str">
        <f>IF(D46="","",IF(VLOOKUP(D46,登!$B$4:$I$103,3,0)=1,"男","女"))</f>
        <v/>
      </c>
    </row>
    <row r="47" spans="1:9">
      <c r="A47" s="509"/>
      <c r="B47" s="514"/>
      <c r="C47" s="132" t="str">
        <f>IF(D47="","",登!$F$1)</f>
        <v/>
      </c>
      <c r="D47" s="506"/>
      <c r="E47" s="132" t="str">
        <f>IF(G47="","",VLOOKUP(登!$D$1,名!$B$2:$D$81,3,0))</f>
        <v/>
      </c>
      <c r="F47" s="133" t="str">
        <f>IF(D47="","",IF(COUNTIF($D$12:D47,"")=0,VLOOKUP(D47,登!$B$4:$I$103,7,0),"上から詰めて入力してください"))</f>
        <v/>
      </c>
      <c r="G47" s="296" t="str">
        <f>IF(D47="","",IF(VLOOKUP(D47,登!$B$4:$I$103,2,0)=登!$B$1,1,IF(VLOOKUP(D47,登!$B$4:$I$103,2,0)=登!$B$1-1,2,IF(VLOOKUP(D47,登!$B$4:$I$103,2,0)=登!$B$1-2,3,"学年ミス"))))</f>
        <v/>
      </c>
      <c r="H47" s="296" t="str">
        <f t="shared" si="0"/>
        <v/>
      </c>
      <c r="I47" s="296" t="str">
        <f>IF(D47="","",IF(VLOOKUP(D47,登!$B$4:$I$103,3,0)=1,"男","女"))</f>
        <v/>
      </c>
    </row>
    <row r="48" spans="1:9">
      <c r="A48" s="507"/>
      <c r="B48" s="512"/>
      <c r="C48" s="99" t="str">
        <f>IF(D48="","",登!$F$1)</f>
        <v/>
      </c>
      <c r="D48" s="504"/>
      <c r="E48" s="99" t="str">
        <f>IF(G48="","",VLOOKUP(登!$D$1,名!$B$2:$D$81,3,0))</f>
        <v/>
      </c>
      <c r="F48" s="100" t="str">
        <f>IF(D48="","",IF(COUNTIF($D$12:D48,"")=0,VLOOKUP(D48,登!$B$4:$I$103,7,0),"上から詰めて入力してください"))</f>
        <v/>
      </c>
      <c r="G48" s="119" t="str">
        <f>IF(D48="","",IF(VLOOKUP(D48,登!$B$4:$I$103,2,0)=登!$B$1,1,IF(VLOOKUP(D48,登!$B$4:$I$103,2,0)=登!$B$1-1,2,IF(VLOOKUP(D48,登!$B$4:$I$103,2,0)=登!$B$1-2,3,"学年ミス"))))</f>
        <v/>
      </c>
      <c r="H48" s="119" t="str">
        <f t="shared" ref="H48:H56" si="1">IF(D48="","",IF(COUNTIF($D$12:$D$56,D48)&gt;1,"選手重複!!","OK"))</f>
        <v/>
      </c>
      <c r="I48" s="119" t="str">
        <f>IF(D48="","",IF(VLOOKUP(D48,登!$B$4:$I$103,3,0)=1,"男","女"))</f>
        <v/>
      </c>
    </row>
    <row r="49" spans="1:9">
      <c r="A49" s="509"/>
      <c r="B49" s="513"/>
      <c r="C49" s="105" t="str">
        <f>IF(D49="","",登!$F$1)</f>
        <v/>
      </c>
      <c r="D49" s="505"/>
      <c r="E49" s="105" t="str">
        <f>IF(G49="","",VLOOKUP(登!$D$1,名!$B$2:$D$81,3,0))</f>
        <v/>
      </c>
      <c r="F49" s="106" t="str">
        <f>IF(D49="","",IF(COUNTIF($D$12:D49,"")=0,VLOOKUP(D49,登!$B$4:$I$103,7,0),"上から詰めて入力してください"))</f>
        <v/>
      </c>
      <c r="G49" s="108" t="str">
        <f>IF(D49="","",IF(VLOOKUP(D49,登!$B$4:$I$103,2,0)=登!$B$1,1,IF(VLOOKUP(D49,登!$B$4:$I$103,2,0)=登!$B$1-1,2,IF(VLOOKUP(D49,登!$B$4:$I$103,2,0)=登!$B$1-2,3,"学年ミス"))))</f>
        <v/>
      </c>
      <c r="H49" s="108" t="str">
        <f t="shared" si="1"/>
        <v/>
      </c>
      <c r="I49" s="108" t="str">
        <f>IF(D49="","",IF(VLOOKUP(D49,登!$B$4:$I$103,3,0)=1,"男","女"))</f>
        <v/>
      </c>
    </row>
    <row r="50" spans="1:9">
      <c r="A50" s="509"/>
      <c r="B50" s="514"/>
      <c r="C50" s="132" t="str">
        <f>IF(D50="","",登!$F$1)</f>
        <v/>
      </c>
      <c r="D50" s="506"/>
      <c r="E50" s="132" t="str">
        <f>IF(G50="","",VLOOKUP(登!$D$1,名!$B$2:$D$81,3,0))</f>
        <v/>
      </c>
      <c r="F50" s="133" t="str">
        <f>IF(D50="","",IF(COUNTIF($D$12:D50,"")=0,VLOOKUP(D50,登!$B$4:$I$103,7,0),"上から詰めて入力してください"))</f>
        <v/>
      </c>
      <c r="G50" s="296" t="str">
        <f>IF(D50="","",IF(VLOOKUP(D50,登!$B$4:$I$103,2,0)=登!$B$1,1,IF(VLOOKUP(D50,登!$B$4:$I$103,2,0)=登!$B$1-1,2,IF(VLOOKUP(D50,登!$B$4:$I$103,2,0)=登!$B$1-2,3,"学年ミス"))))</f>
        <v/>
      </c>
      <c r="H50" s="296" t="str">
        <f t="shared" si="1"/>
        <v/>
      </c>
      <c r="I50" s="296" t="str">
        <f>IF(D50="","",IF(VLOOKUP(D50,登!$B$4:$I$103,3,0)=1,"男","女"))</f>
        <v/>
      </c>
    </row>
    <row r="51" spans="1:9">
      <c r="A51" s="507"/>
      <c r="B51" s="512"/>
      <c r="C51" s="99" t="str">
        <f>IF(D51="","",登!$F$1)</f>
        <v/>
      </c>
      <c r="D51" s="504"/>
      <c r="E51" s="99" t="str">
        <f>IF(G51="","",VLOOKUP(登!$D$1,名!$B$2:$D$81,3,0))</f>
        <v/>
      </c>
      <c r="F51" s="100" t="str">
        <f>IF(D51="","",IF(COUNTIF($D$12:D51,"")=0,VLOOKUP(D51,登!$B$4:$I$103,7,0),"上から詰めて入力してください"))</f>
        <v/>
      </c>
      <c r="G51" s="119" t="str">
        <f>IF(D51="","",IF(VLOOKUP(D51,登!$B$4:$I$103,2,0)=登!$B$1,1,IF(VLOOKUP(D51,登!$B$4:$I$103,2,0)=登!$B$1-1,2,IF(VLOOKUP(D51,登!$B$4:$I$103,2,0)=登!$B$1-2,3,"学年ミス"))))</f>
        <v/>
      </c>
      <c r="H51" s="119" t="str">
        <f t="shared" si="1"/>
        <v/>
      </c>
      <c r="I51" s="119" t="str">
        <f>IF(D51="","",IF(VLOOKUP(D51,登!$B$4:$I$103,3,0)=1,"男","女"))</f>
        <v/>
      </c>
    </row>
    <row r="52" spans="1:9">
      <c r="A52" s="509"/>
      <c r="B52" s="513"/>
      <c r="C52" s="105" t="str">
        <f>IF(D52="","",登!$F$1)</f>
        <v/>
      </c>
      <c r="D52" s="505"/>
      <c r="E52" s="105" t="str">
        <f>IF(G52="","",VLOOKUP(登!$D$1,名!$B$2:$D$81,3,0))</f>
        <v/>
      </c>
      <c r="F52" s="106" t="str">
        <f>IF(D52="","",IF(COUNTIF($D$12:D52,"")=0,VLOOKUP(D52,登!$B$4:$I$103,7,0),"上から詰めて入力してください"))</f>
        <v/>
      </c>
      <c r="G52" s="108" t="str">
        <f>IF(D52="","",IF(VLOOKUP(D52,登!$B$4:$I$103,2,0)=登!$B$1,1,IF(VLOOKUP(D52,登!$B$4:$I$103,2,0)=登!$B$1-1,2,IF(VLOOKUP(D52,登!$B$4:$I$103,2,0)=登!$B$1-2,3,"学年ミス"))))</f>
        <v/>
      </c>
      <c r="H52" s="108" t="str">
        <f t="shared" si="1"/>
        <v/>
      </c>
      <c r="I52" s="108" t="str">
        <f>IF(D52="","",IF(VLOOKUP(D52,登!$B$4:$I$103,3,0)=1,"男","女"))</f>
        <v/>
      </c>
    </row>
    <row r="53" spans="1:9">
      <c r="A53" s="509"/>
      <c r="B53" s="514"/>
      <c r="C53" s="132" t="str">
        <f>IF(D53="","",登!$F$1)</f>
        <v/>
      </c>
      <c r="D53" s="506"/>
      <c r="E53" s="132" t="str">
        <f>IF(G53="","",VLOOKUP(登!$D$1,名!$B$2:$D$81,3,0))</f>
        <v/>
      </c>
      <c r="F53" s="133" t="str">
        <f>IF(D53="","",IF(COUNTIF($D$12:D53,"")=0,VLOOKUP(D53,登!$B$4:$I$103,7,0),"上から詰めて入力してください"))</f>
        <v/>
      </c>
      <c r="G53" s="296" t="str">
        <f>IF(D53="","",IF(VLOOKUP(D53,登!$B$4:$I$103,2,0)=登!$B$1,1,IF(VLOOKUP(D53,登!$B$4:$I$103,2,0)=登!$B$1-1,2,IF(VLOOKUP(D53,登!$B$4:$I$103,2,0)=登!$B$1-2,3,"学年ミス"))))</f>
        <v/>
      </c>
      <c r="H53" s="296" t="str">
        <f t="shared" si="1"/>
        <v/>
      </c>
      <c r="I53" s="296" t="str">
        <f>IF(D53="","",IF(VLOOKUP(D53,登!$B$4:$I$103,3,0)=1,"男","女"))</f>
        <v/>
      </c>
    </row>
    <row r="54" spans="1:9">
      <c r="A54" s="507"/>
      <c r="B54" s="512"/>
      <c r="C54" s="99" t="str">
        <f>IF(D54="","",登!$F$1)</f>
        <v/>
      </c>
      <c r="D54" s="504"/>
      <c r="E54" s="99" t="str">
        <f>IF(G54="","",VLOOKUP(登!$D$1,名!$B$2:$D$81,3,0))</f>
        <v/>
      </c>
      <c r="F54" s="100" t="str">
        <f>IF(D54="","",IF(COUNTIF($D$12:D54,"")=0,VLOOKUP(D54,登!$B$4:$I$103,7,0),"上から詰めて入力してください"))</f>
        <v/>
      </c>
      <c r="G54" s="119" t="str">
        <f>IF(D54="","",IF(VLOOKUP(D54,登!$B$4:$I$103,2,0)=登!$B$1,1,IF(VLOOKUP(D54,登!$B$4:$I$103,2,0)=登!$B$1-1,2,IF(VLOOKUP(D54,登!$B$4:$I$103,2,0)=登!$B$1-2,3,"学年ミス"))))</f>
        <v/>
      </c>
      <c r="H54" s="119" t="str">
        <f t="shared" si="1"/>
        <v/>
      </c>
      <c r="I54" s="119" t="str">
        <f>IF(D54="","",IF(VLOOKUP(D54,登!$B$4:$I$103,3,0)=1,"男","女"))</f>
        <v/>
      </c>
    </row>
    <row r="55" spans="1:9">
      <c r="A55" s="509"/>
      <c r="B55" s="513"/>
      <c r="C55" s="105" t="str">
        <f>IF(D55="","",登!$F$1)</f>
        <v/>
      </c>
      <c r="D55" s="505"/>
      <c r="E55" s="105" t="str">
        <f>IF(G55="","",VLOOKUP(登!$D$1,名!$B$2:$D$81,3,0))</f>
        <v/>
      </c>
      <c r="F55" s="106" t="str">
        <f>IF(D55="","",IF(COUNTIF($D$12:D55,"")=0,VLOOKUP(D55,登!$B$4:$I$103,7,0),"上から詰めて入力してください"))</f>
        <v/>
      </c>
      <c r="G55" s="108" t="str">
        <f>IF(D55="","",IF(VLOOKUP(D55,登!$B$4:$I$103,2,0)=登!$B$1,1,IF(VLOOKUP(D55,登!$B$4:$I$103,2,0)=登!$B$1-1,2,IF(VLOOKUP(D55,登!$B$4:$I$103,2,0)=登!$B$1-2,3,"学年ミス"))))</f>
        <v/>
      </c>
      <c r="H55" s="108" t="str">
        <f t="shared" si="1"/>
        <v/>
      </c>
      <c r="I55" s="108" t="str">
        <f>IF(D55="","",IF(VLOOKUP(D55,登!$B$4:$I$103,3,0)=1,"男","女"))</f>
        <v/>
      </c>
    </row>
    <row r="56" spans="1:9">
      <c r="A56" s="515"/>
      <c r="B56" s="514"/>
      <c r="C56" s="132" t="str">
        <f>IF(D56="","",登!$F$1)</f>
        <v/>
      </c>
      <c r="D56" s="506"/>
      <c r="E56" s="132" t="str">
        <f>IF(G56="","",VLOOKUP(登!$D$1,名!$B$2:$D$81,3,0))</f>
        <v/>
      </c>
      <c r="F56" s="133" t="str">
        <f>IF(D56="","",IF(COUNTIF($D$12:D56,"")=0,VLOOKUP(D56,登!$B$4:$I$103,7,0),"上から詰めて入力してください"))</f>
        <v/>
      </c>
      <c r="G56" s="296" t="str">
        <f>IF(D56="","",IF(VLOOKUP(D56,登!$B$4:$I$103,2,0)=登!$B$1,1,IF(VLOOKUP(D56,登!$B$4:$I$103,2,0)=登!$B$1-1,2,IF(VLOOKUP(D56,登!$B$4:$I$103,2,0)=登!$B$1-2,3,"学年ミス"))))</f>
        <v/>
      </c>
      <c r="H56" s="296" t="str">
        <f t="shared" si="1"/>
        <v/>
      </c>
      <c r="I56" s="296" t="str">
        <f>IF(D56="","",IF(VLOOKUP(D56,登!$B$4:$I$103,3,0)=1,"男","女"))</f>
        <v/>
      </c>
    </row>
  </sheetData>
  <sheetProtection password="CC71" sheet="1" objects="1" scenarios="1"/>
  <mergeCells count="15">
    <mergeCell ref="L1:L2"/>
    <mergeCell ref="B3:C3"/>
    <mergeCell ref="D3:G3"/>
    <mergeCell ref="C1:G1"/>
    <mergeCell ref="A10:A11"/>
    <mergeCell ref="B8:C8"/>
    <mergeCell ref="D8:E8"/>
    <mergeCell ref="F8:G8"/>
    <mergeCell ref="B10:G10"/>
    <mergeCell ref="D5:E5"/>
    <mergeCell ref="F5:G5"/>
    <mergeCell ref="B5:C5"/>
    <mergeCell ref="B6:C6"/>
    <mergeCell ref="B7:C7"/>
    <mergeCell ref="K1:K2"/>
  </mergeCells>
  <phoneticPr fontId="2"/>
  <dataValidations count="1">
    <dataValidation type="list" allowBlank="1" showInputMessage="1" showErrorMessage="1" sqref="A12:A56">
      <formula1>"なし,無指定,初段Ｂ,初段,二段,参段"</formula1>
    </dataValidation>
  </dataValidations>
  <hyperlinks>
    <hyperlink ref="F8:G8" r:id="rId1" display="gunkyumi@yahoo.co.jp"/>
  </hyperlinks>
  <printOptions horizontalCentered="1"/>
  <pageMargins left="0.39370078740157483" right="0.39370078740157483" top="0.39370078740157483" bottom="0.39370078740157483" header="0" footer="0"/>
  <pageSetup paperSize="9" orientation="portrait" horizontalDpi="300" r:id="rId2"/>
  <headerFooter alignWithMargins="0"/>
  <ignoredErrors>
    <ignoredError sqref="E6:E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49"/>
  <sheetViews>
    <sheetView zoomScaleNormal="100" workbookViewId="0">
      <selection sqref="A1:I1"/>
    </sheetView>
  </sheetViews>
  <sheetFormatPr defaultColWidth="9.75" defaultRowHeight="17.25" customHeight="1"/>
  <cols>
    <col min="1" max="16384" width="9.75" style="69"/>
  </cols>
  <sheetData>
    <row r="1" spans="1:9" ht="27.75" customHeight="1">
      <c r="A1" s="368" t="s">
        <v>403</v>
      </c>
      <c r="B1" s="369"/>
      <c r="C1" s="369"/>
      <c r="D1" s="369"/>
      <c r="E1" s="369"/>
      <c r="F1" s="369"/>
      <c r="G1" s="369"/>
      <c r="H1" s="369"/>
      <c r="I1" s="370"/>
    </row>
    <row r="2" spans="1:9" ht="14.25" customHeight="1">
      <c r="A2" s="366" t="s">
        <v>0</v>
      </c>
      <c r="B2" s="364" t="s">
        <v>1</v>
      </c>
      <c r="C2" s="364" t="s">
        <v>323</v>
      </c>
      <c r="D2" s="70" t="s">
        <v>130</v>
      </c>
      <c r="E2" s="70" t="s">
        <v>324</v>
      </c>
      <c r="F2" s="70" t="s">
        <v>327</v>
      </c>
      <c r="G2" s="70" t="s">
        <v>325</v>
      </c>
      <c r="H2" s="70" t="s">
        <v>326</v>
      </c>
      <c r="I2" s="70" t="s">
        <v>131</v>
      </c>
    </row>
    <row r="3" spans="1:9" ht="14.25" customHeight="1">
      <c r="A3" s="367"/>
      <c r="B3" s="365"/>
      <c r="C3" s="365"/>
      <c r="D3" s="70" t="s">
        <v>32</v>
      </c>
      <c r="E3" s="70" t="s">
        <v>32</v>
      </c>
      <c r="F3" s="70" t="s">
        <v>32</v>
      </c>
      <c r="G3" s="70" t="s">
        <v>32</v>
      </c>
      <c r="H3" s="70" t="s">
        <v>32</v>
      </c>
      <c r="I3" s="70" t="s">
        <v>32</v>
      </c>
    </row>
    <row r="4" spans="1:9" ht="17.25" customHeight="1">
      <c r="A4" s="71">
        <v>21</v>
      </c>
      <c r="B4" s="70" t="s">
        <v>168</v>
      </c>
      <c r="C4" s="70">
        <v>1</v>
      </c>
      <c r="D4" s="70">
        <v>16</v>
      </c>
      <c r="E4" s="70">
        <v>34</v>
      </c>
      <c r="F4" s="70">
        <v>10</v>
      </c>
      <c r="G4" s="70">
        <v>38</v>
      </c>
      <c r="H4" s="70">
        <v>29</v>
      </c>
      <c r="I4" s="70">
        <v>10</v>
      </c>
    </row>
    <row r="5" spans="1:9" ht="17.25" customHeight="1">
      <c r="A5" s="71">
        <v>72</v>
      </c>
      <c r="B5" s="70" t="s">
        <v>155</v>
      </c>
      <c r="C5" s="70">
        <v>2</v>
      </c>
      <c r="D5" s="70">
        <v>14</v>
      </c>
      <c r="E5" s="70">
        <v>27</v>
      </c>
      <c r="F5" s="70">
        <v>30</v>
      </c>
      <c r="G5" s="70">
        <v>4</v>
      </c>
      <c r="H5" s="70">
        <v>32</v>
      </c>
      <c r="I5" s="70">
        <v>32</v>
      </c>
    </row>
    <row r="6" spans="1:9" ht="17.25" customHeight="1">
      <c r="A6" s="71">
        <v>13</v>
      </c>
      <c r="B6" s="70" t="s">
        <v>156</v>
      </c>
      <c r="C6" s="70">
        <v>3</v>
      </c>
      <c r="D6" s="70">
        <v>5</v>
      </c>
      <c r="E6" s="70">
        <v>21</v>
      </c>
      <c r="F6" s="70">
        <v>38</v>
      </c>
      <c r="G6" s="70">
        <v>24</v>
      </c>
      <c r="H6" s="70">
        <v>14</v>
      </c>
      <c r="I6" s="70">
        <v>44</v>
      </c>
    </row>
    <row r="7" spans="1:9" ht="17.25" customHeight="1">
      <c r="A7" s="71">
        <v>61</v>
      </c>
      <c r="B7" s="70" t="s">
        <v>154</v>
      </c>
      <c r="C7" s="70">
        <v>4</v>
      </c>
      <c r="D7" s="70">
        <v>23</v>
      </c>
      <c r="E7" s="70">
        <v>11</v>
      </c>
      <c r="F7" s="70">
        <v>41</v>
      </c>
      <c r="G7" s="70">
        <v>19</v>
      </c>
      <c r="H7" s="70">
        <v>34</v>
      </c>
      <c r="I7" s="70">
        <v>11</v>
      </c>
    </row>
    <row r="8" spans="1:9" ht="17.25" customHeight="1">
      <c r="A8" s="71">
        <v>2</v>
      </c>
      <c r="B8" s="70" t="s">
        <v>171</v>
      </c>
      <c r="C8" s="70">
        <v>5</v>
      </c>
      <c r="D8" s="70">
        <v>22</v>
      </c>
      <c r="E8" s="70">
        <v>1</v>
      </c>
      <c r="F8" s="70">
        <v>36</v>
      </c>
      <c r="G8" s="70">
        <v>36</v>
      </c>
      <c r="H8" s="70">
        <v>8</v>
      </c>
      <c r="I8" s="70">
        <v>43</v>
      </c>
    </row>
    <row r="9" spans="1:9" ht="17.25" customHeight="1">
      <c r="A9" s="71">
        <v>46</v>
      </c>
      <c r="B9" s="70" t="s">
        <v>172</v>
      </c>
      <c r="C9" s="70">
        <v>6</v>
      </c>
      <c r="D9" s="70">
        <v>2</v>
      </c>
      <c r="E9" s="70">
        <v>10</v>
      </c>
      <c r="F9" s="70">
        <v>29</v>
      </c>
      <c r="G9" s="70">
        <v>44</v>
      </c>
      <c r="H9" s="70">
        <v>20</v>
      </c>
      <c r="I9" s="70">
        <v>40</v>
      </c>
    </row>
    <row r="10" spans="1:9" ht="17.25" customHeight="1">
      <c r="A10" s="71">
        <v>14</v>
      </c>
      <c r="B10" s="70" t="s">
        <v>180</v>
      </c>
      <c r="C10" s="70">
        <v>7</v>
      </c>
      <c r="D10" s="70">
        <v>36</v>
      </c>
      <c r="E10" s="70">
        <v>19</v>
      </c>
      <c r="F10" s="70">
        <v>23</v>
      </c>
      <c r="G10" s="70">
        <v>2</v>
      </c>
      <c r="H10" s="70">
        <v>17</v>
      </c>
      <c r="I10" s="70">
        <v>42</v>
      </c>
    </row>
    <row r="11" spans="1:9" ht="17.25" customHeight="1">
      <c r="A11" s="71">
        <v>8</v>
      </c>
      <c r="B11" s="70" t="s">
        <v>185</v>
      </c>
      <c r="C11" s="70">
        <v>8</v>
      </c>
      <c r="D11" s="70">
        <v>12</v>
      </c>
      <c r="E11" s="70">
        <v>23</v>
      </c>
      <c r="F11" s="70">
        <v>35</v>
      </c>
      <c r="G11" s="70">
        <v>34</v>
      </c>
      <c r="H11" s="70">
        <v>9</v>
      </c>
      <c r="I11" s="70">
        <v>33</v>
      </c>
    </row>
    <row r="12" spans="1:9" ht="17.25" customHeight="1">
      <c r="A12" s="71">
        <v>24</v>
      </c>
      <c r="B12" s="70" t="s">
        <v>160</v>
      </c>
      <c r="C12" s="70">
        <v>9</v>
      </c>
      <c r="D12" s="70">
        <v>18</v>
      </c>
      <c r="E12" s="70">
        <v>17</v>
      </c>
      <c r="F12" s="70">
        <v>22</v>
      </c>
      <c r="G12" s="70">
        <v>37</v>
      </c>
      <c r="H12" s="70">
        <v>40</v>
      </c>
      <c r="I12" s="70">
        <v>5</v>
      </c>
    </row>
    <row r="13" spans="1:9" ht="17.25" customHeight="1">
      <c r="A13" s="71">
        <v>17</v>
      </c>
      <c r="B13" s="70" t="s">
        <v>158</v>
      </c>
      <c r="C13" s="70">
        <v>10</v>
      </c>
      <c r="D13" s="70">
        <v>46</v>
      </c>
      <c r="E13" s="70">
        <v>4</v>
      </c>
      <c r="F13" s="70">
        <v>17</v>
      </c>
      <c r="G13" s="70">
        <v>43</v>
      </c>
      <c r="H13" s="70">
        <v>24</v>
      </c>
      <c r="I13" s="70">
        <v>12</v>
      </c>
    </row>
    <row r="14" spans="1:9" ht="17.25" customHeight="1">
      <c r="A14" s="71">
        <v>11</v>
      </c>
      <c r="B14" s="70" t="s">
        <v>175</v>
      </c>
      <c r="C14" s="70">
        <v>11</v>
      </c>
      <c r="D14" s="70">
        <v>41</v>
      </c>
      <c r="E14" s="70">
        <v>33</v>
      </c>
      <c r="F14" s="70">
        <v>8</v>
      </c>
      <c r="G14" s="70">
        <v>23</v>
      </c>
      <c r="H14" s="70">
        <v>10</v>
      </c>
      <c r="I14" s="70">
        <v>26</v>
      </c>
    </row>
    <row r="15" spans="1:9" ht="17.25" customHeight="1">
      <c r="A15" s="71">
        <v>64</v>
      </c>
      <c r="B15" s="70" t="s">
        <v>189</v>
      </c>
      <c r="C15" s="70">
        <v>12</v>
      </c>
      <c r="D15" s="70">
        <v>17</v>
      </c>
      <c r="E15" s="70">
        <v>44</v>
      </c>
      <c r="F15" s="70">
        <v>6</v>
      </c>
      <c r="G15" s="70">
        <v>35</v>
      </c>
      <c r="H15" s="70">
        <v>22</v>
      </c>
      <c r="I15" s="70">
        <v>16</v>
      </c>
    </row>
    <row r="16" spans="1:9" ht="17.25" customHeight="1">
      <c r="A16" s="71">
        <v>30</v>
      </c>
      <c r="B16" s="70" t="s">
        <v>182</v>
      </c>
      <c r="C16" s="70">
        <v>13</v>
      </c>
      <c r="D16" s="70">
        <v>39</v>
      </c>
      <c r="E16" s="70">
        <v>45</v>
      </c>
      <c r="F16" s="70">
        <v>1</v>
      </c>
      <c r="G16" s="70">
        <v>21</v>
      </c>
      <c r="H16" s="70">
        <v>6</v>
      </c>
      <c r="I16" s="70">
        <v>31</v>
      </c>
    </row>
    <row r="17" spans="1:9" ht="17.25" customHeight="1">
      <c r="A17" s="71">
        <v>69</v>
      </c>
      <c r="B17" s="70" t="s">
        <v>170</v>
      </c>
      <c r="C17" s="70">
        <v>14</v>
      </c>
      <c r="D17" s="70">
        <v>3</v>
      </c>
      <c r="E17" s="70">
        <v>46</v>
      </c>
      <c r="F17" s="70">
        <v>11</v>
      </c>
      <c r="G17" s="70">
        <v>13</v>
      </c>
      <c r="H17" s="70">
        <v>30</v>
      </c>
      <c r="I17" s="70">
        <v>41</v>
      </c>
    </row>
    <row r="18" spans="1:9" ht="17.25" customHeight="1">
      <c r="A18" s="71">
        <v>1</v>
      </c>
      <c r="B18" s="70" t="s">
        <v>169</v>
      </c>
      <c r="C18" s="70">
        <v>15</v>
      </c>
      <c r="D18" s="70">
        <v>29</v>
      </c>
      <c r="E18" s="70">
        <v>42</v>
      </c>
      <c r="F18" s="70">
        <v>12</v>
      </c>
      <c r="G18" s="70">
        <v>27</v>
      </c>
      <c r="H18" s="70">
        <v>1</v>
      </c>
      <c r="I18" s="70">
        <v>28</v>
      </c>
    </row>
    <row r="19" spans="1:9" ht="17.25" customHeight="1">
      <c r="A19" s="71">
        <v>74</v>
      </c>
      <c r="B19" s="70" t="s">
        <v>176</v>
      </c>
      <c r="C19" s="70">
        <v>16</v>
      </c>
      <c r="D19" s="70">
        <v>45</v>
      </c>
      <c r="E19" s="70">
        <v>2</v>
      </c>
      <c r="F19" s="70">
        <v>27</v>
      </c>
      <c r="G19" s="70">
        <v>32</v>
      </c>
      <c r="H19" s="70">
        <v>27</v>
      </c>
      <c r="I19" s="70">
        <v>7</v>
      </c>
    </row>
    <row r="20" spans="1:9" ht="17.25" customHeight="1">
      <c r="A20" s="71">
        <v>49</v>
      </c>
      <c r="B20" s="70" t="s">
        <v>328</v>
      </c>
      <c r="C20" s="70">
        <v>17</v>
      </c>
      <c r="D20" s="70">
        <v>9</v>
      </c>
      <c r="E20" s="70">
        <v>26</v>
      </c>
      <c r="F20" s="70">
        <v>44</v>
      </c>
      <c r="G20" s="70">
        <v>1</v>
      </c>
      <c r="H20" s="70">
        <v>35</v>
      </c>
      <c r="I20" s="70">
        <v>25</v>
      </c>
    </row>
    <row r="21" spans="1:9" ht="17.25" customHeight="1">
      <c r="A21" s="71">
        <v>29</v>
      </c>
      <c r="B21" s="70" t="s">
        <v>153</v>
      </c>
      <c r="C21" s="70">
        <v>18</v>
      </c>
      <c r="D21" s="70">
        <v>28</v>
      </c>
      <c r="E21" s="70">
        <v>6</v>
      </c>
      <c r="F21" s="70">
        <v>45</v>
      </c>
      <c r="G21" s="70">
        <v>20</v>
      </c>
      <c r="H21" s="70">
        <v>3</v>
      </c>
      <c r="I21" s="70">
        <v>36</v>
      </c>
    </row>
    <row r="22" spans="1:9" ht="17.25" customHeight="1">
      <c r="A22" s="71">
        <v>71</v>
      </c>
      <c r="B22" s="70" t="s">
        <v>165</v>
      </c>
      <c r="C22" s="70">
        <v>19</v>
      </c>
      <c r="D22" s="70">
        <v>38</v>
      </c>
      <c r="E22" s="70">
        <v>29</v>
      </c>
      <c r="F22" s="70">
        <v>46</v>
      </c>
      <c r="G22" s="70">
        <v>8</v>
      </c>
      <c r="H22" s="70">
        <v>5</v>
      </c>
      <c r="I22" s="70">
        <v>20</v>
      </c>
    </row>
    <row r="23" spans="1:9" ht="17.25" customHeight="1">
      <c r="A23" s="71">
        <v>45</v>
      </c>
      <c r="B23" s="70" t="s">
        <v>186</v>
      </c>
      <c r="C23" s="70">
        <v>20</v>
      </c>
      <c r="D23" s="70">
        <v>19</v>
      </c>
      <c r="E23" s="70">
        <v>35</v>
      </c>
      <c r="F23" s="70">
        <v>42</v>
      </c>
      <c r="G23" s="70">
        <v>15</v>
      </c>
      <c r="H23" s="70">
        <v>2</v>
      </c>
      <c r="I23" s="70">
        <v>24</v>
      </c>
    </row>
    <row r="24" spans="1:9" ht="17.25" customHeight="1">
      <c r="A24" s="71">
        <v>16</v>
      </c>
      <c r="B24" s="70" t="s">
        <v>161</v>
      </c>
      <c r="C24" s="70">
        <v>21</v>
      </c>
      <c r="D24" s="70">
        <v>32</v>
      </c>
      <c r="E24" s="70">
        <v>5</v>
      </c>
      <c r="F24" s="70">
        <v>19</v>
      </c>
      <c r="G24" s="70">
        <v>16</v>
      </c>
      <c r="H24" s="70">
        <v>26</v>
      </c>
      <c r="I24" s="70">
        <v>39</v>
      </c>
    </row>
    <row r="25" spans="1:9" ht="17.25" customHeight="1">
      <c r="A25" s="71">
        <v>6</v>
      </c>
      <c r="B25" s="70" t="s">
        <v>162</v>
      </c>
      <c r="C25" s="70">
        <v>22</v>
      </c>
      <c r="D25" s="70">
        <v>13</v>
      </c>
      <c r="E25" s="70">
        <v>16</v>
      </c>
      <c r="F25" s="70">
        <v>15</v>
      </c>
      <c r="G25" s="70">
        <v>39</v>
      </c>
      <c r="H25" s="70">
        <v>19</v>
      </c>
      <c r="I25" s="70">
        <v>35</v>
      </c>
    </row>
    <row r="26" spans="1:9" ht="17.25" customHeight="1">
      <c r="A26" s="71">
        <v>25</v>
      </c>
      <c r="B26" s="70" t="s">
        <v>164</v>
      </c>
      <c r="C26" s="70">
        <v>23</v>
      </c>
      <c r="D26" s="70">
        <v>1</v>
      </c>
      <c r="E26" s="70">
        <v>22</v>
      </c>
      <c r="F26" s="70">
        <v>39</v>
      </c>
      <c r="G26" s="70">
        <v>41</v>
      </c>
      <c r="H26" s="70">
        <v>28</v>
      </c>
      <c r="I26" s="70">
        <v>13</v>
      </c>
    </row>
    <row r="27" spans="1:9" ht="17.25" customHeight="1">
      <c r="A27" s="71">
        <v>32</v>
      </c>
      <c r="B27" s="70" t="s">
        <v>208</v>
      </c>
      <c r="C27" s="70">
        <v>24</v>
      </c>
      <c r="D27" s="70">
        <v>21</v>
      </c>
      <c r="E27" s="70">
        <v>3</v>
      </c>
      <c r="F27" s="70">
        <v>16</v>
      </c>
      <c r="G27" s="70">
        <v>11</v>
      </c>
      <c r="H27" s="70">
        <v>42</v>
      </c>
      <c r="I27" s="70">
        <v>45</v>
      </c>
    </row>
    <row r="28" spans="1:9" ht="17.25" customHeight="1">
      <c r="A28" s="71">
        <v>44</v>
      </c>
      <c r="B28" s="70" t="s">
        <v>190</v>
      </c>
      <c r="C28" s="70">
        <v>25</v>
      </c>
      <c r="D28" s="70">
        <v>10</v>
      </c>
      <c r="E28" s="70">
        <v>24</v>
      </c>
      <c r="F28" s="70">
        <v>40</v>
      </c>
      <c r="G28" s="70">
        <v>18</v>
      </c>
      <c r="H28" s="70">
        <v>41</v>
      </c>
      <c r="I28" s="70">
        <v>9</v>
      </c>
    </row>
    <row r="29" spans="1:9" ht="17.25" customHeight="1">
      <c r="A29" s="71">
        <v>7</v>
      </c>
      <c r="B29" s="70" t="s">
        <v>166</v>
      </c>
      <c r="C29" s="70">
        <v>26</v>
      </c>
      <c r="D29" s="70">
        <v>31</v>
      </c>
      <c r="E29" s="70">
        <v>30</v>
      </c>
      <c r="F29" s="70">
        <v>34</v>
      </c>
      <c r="G29" s="70">
        <v>6</v>
      </c>
      <c r="H29" s="70">
        <v>16</v>
      </c>
      <c r="I29" s="70">
        <v>23</v>
      </c>
    </row>
    <row r="30" spans="1:9" ht="17.25" customHeight="1">
      <c r="A30" s="71">
        <v>68</v>
      </c>
      <c r="B30" s="70" t="s">
        <v>157</v>
      </c>
      <c r="C30" s="70">
        <v>27</v>
      </c>
      <c r="D30" s="70">
        <v>20</v>
      </c>
      <c r="E30" s="70">
        <v>14</v>
      </c>
      <c r="F30" s="70">
        <v>24</v>
      </c>
      <c r="G30" s="70">
        <v>26</v>
      </c>
      <c r="H30" s="70">
        <v>46</v>
      </c>
      <c r="I30" s="70">
        <v>6</v>
      </c>
    </row>
    <row r="31" spans="1:9" ht="17.25" customHeight="1">
      <c r="A31" s="71">
        <v>23</v>
      </c>
      <c r="B31" s="70" t="s">
        <v>150</v>
      </c>
      <c r="C31" s="70">
        <v>28</v>
      </c>
      <c r="D31" s="70">
        <v>11</v>
      </c>
      <c r="E31" s="70">
        <v>37</v>
      </c>
      <c r="F31" s="70">
        <v>4</v>
      </c>
      <c r="G31" s="70">
        <v>29</v>
      </c>
      <c r="H31" s="70">
        <v>45</v>
      </c>
      <c r="I31" s="70">
        <v>17</v>
      </c>
    </row>
    <row r="32" spans="1:9" ht="17.25" customHeight="1">
      <c r="A32" s="71">
        <v>28</v>
      </c>
      <c r="B32" s="70" t="s">
        <v>193</v>
      </c>
      <c r="C32" s="70">
        <v>29</v>
      </c>
      <c r="D32" s="70">
        <v>30</v>
      </c>
      <c r="E32" s="70">
        <v>31</v>
      </c>
      <c r="F32" s="70">
        <v>32</v>
      </c>
      <c r="G32" s="70">
        <v>5</v>
      </c>
      <c r="H32" s="70">
        <v>36</v>
      </c>
      <c r="I32" s="70">
        <v>2</v>
      </c>
    </row>
    <row r="33" spans="1:9" ht="17.25" customHeight="1">
      <c r="A33" s="71">
        <v>4</v>
      </c>
      <c r="B33" s="70" t="s">
        <v>179</v>
      </c>
      <c r="C33" s="70">
        <v>30</v>
      </c>
      <c r="D33" s="70">
        <v>4</v>
      </c>
      <c r="E33" s="70">
        <v>43</v>
      </c>
      <c r="F33" s="70">
        <v>9</v>
      </c>
      <c r="G33" s="70">
        <v>25</v>
      </c>
      <c r="H33" s="70">
        <v>38</v>
      </c>
      <c r="I33" s="70">
        <v>21</v>
      </c>
    </row>
    <row r="34" spans="1:9" ht="17.25" customHeight="1">
      <c r="A34" s="71">
        <v>43</v>
      </c>
      <c r="B34" s="70" t="s">
        <v>178</v>
      </c>
      <c r="C34" s="70">
        <v>31</v>
      </c>
      <c r="D34" s="70">
        <v>7</v>
      </c>
      <c r="E34" s="70">
        <v>28</v>
      </c>
      <c r="F34" s="70">
        <v>20</v>
      </c>
      <c r="G34" s="70">
        <v>46</v>
      </c>
      <c r="H34" s="70">
        <v>7</v>
      </c>
      <c r="I34" s="70">
        <v>34</v>
      </c>
    </row>
    <row r="35" spans="1:9" ht="17.25" customHeight="1">
      <c r="A35" s="71">
        <v>42</v>
      </c>
      <c r="B35" s="70" t="s">
        <v>174</v>
      </c>
      <c r="C35" s="70">
        <v>32</v>
      </c>
      <c r="D35" s="70">
        <v>35</v>
      </c>
      <c r="E35" s="70">
        <v>15</v>
      </c>
      <c r="F35" s="70">
        <v>21</v>
      </c>
      <c r="G35" s="70">
        <v>3</v>
      </c>
      <c r="H35" s="70">
        <v>25</v>
      </c>
      <c r="I35" s="70">
        <v>38</v>
      </c>
    </row>
    <row r="36" spans="1:9" ht="17.25" customHeight="1">
      <c r="A36" s="71">
        <v>27</v>
      </c>
      <c r="B36" s="70" t="s">
        <v>177</v>
      </c>
      <c r="C36" s="70">
        <v>33</v>
      </c>
      <c r="D36" s="70">
        <v>43</v>
      </c>
      <c r="E36" s="70">
        <v>18</v>
      </c>
      <c r="F36" s="70">
        <v>26</v>
      </c>
      <c r="G36" s="70">
        <v>28</v>
      </c>
      <c r="H36" s="70">
        <v>11</v>
      </c>
      <c r="I36" s="70">
        <v>14</v>
      </c>
    </row>
    <row r="37" spans="1:9" ht="17.25" customHeight="1">
      <c r="A37" s="71">
        <v>10</v>
      </c>
      <c r="B37" s="70" t="s">
        <v>159</v>
      </c>
      <c r="C37" s="70">
        <v>34</v>
      </c>
      <c r="D37" s="70">
        <v>34</v>
      </c>
      <c r="E37" s="70">
        <v>8</v>
      </c>
      <c r="F37" s="70">
        <v>31</v>
      </c>
      <c r="G37" s="70">
        <v>31</v>
      </c>
      <c r="H37" s="70">
        <v>4</v>
      </c>
      <c r="I37" s="70">
        <v>37</v>
      </c>
    </row>
    <row r="38" spans="1:9" ht="17.25" customHeight="1">
      <c r="A38" s="71">
        <v>3</v>
      </c>
      <c r="B38" s="70" t="s">
        <v>149</v>
      </c>
      <c r="C38" s="70">
        <v>35</v>
      </c>
      <c r="D38" s="70">
        <v>6</v>
      </c>
      <c r="E38" s="70">
        <v>36</v>
      </c>
      <c r="F38" s="70">
        <v>7</v>
      </c>
      <c r="G38" s="70">
        <v>22</v>
      </c>
      <c r="H38" s="70">
        <v>44</v>
      </c>
      <c r="I38" s="70">
        <v>29</v>
      </c>
    </row>
    <row r="39" spans="1:9" ht="17.25" customHeight="1">
      <c r="A39" s="71">
        <v>73</v>
      </c>
      <c r="B39" s="70" t="s">
        <v>188</v>
      </c>
      <c r="C39" s="70">
        <v>36</v>
      </c>
      <c r="D39" s="70">
        <v>26</v>
      </c>
      <c r="E39" s="70">
        <v>7</v>
      </c>
      <c r="F39" s="70">
        <v>28</v>
      </c>
      <c r="G39" s="70">
        <v>45</v>
      </c>
      <c r="H39" s="70">
        <v>13</v>
      </c>
      <c r="I39" s="70">
        <v>27</v>
      </c>
    </row>
    <row r="40" spans="1:9" ht="17.25" customHeight="1">
      <c r="A40" s="71">
        <v>66</v>
      </c>
      <c r="B40" s="70" t="s">
        <v>173</v>
      </c>
      <c r="C40" s="70">
        <v>37</v>
      </c>
      <c r="D40" s="70">
        <v>25</v>
      </c>
      <c r="E40" s="70">
        <v>12</v>
      </c>
      <c r="F40" s="70">
        <v>14</v>
      </c>
      <c r="G40" s="70">
        <v>30</v>
      </c>
      <c r="H40" s="70">
        <v>12</v>
      </c>
      <c r="I40" s="70">
        <v>46</v>
      </c>
    </row>
    <row r="41" spans="1:9" ht="17.25" customHeight="1">
      <c r="A41" s="71">
        <v>22</v>
      </c>
      <c r="B41" s="70" t="s">
        <v>163</v>
      </c>
      <c r="C41" s="70">
        <v>38</v>
      </c>
      <c r="D41" s="70">
        <v>40</v>
      </c>
      <c r="E41" s="70">
        <v>39</v>
      </c>
      <c r="F41" s="70">
        <v>5</v>
      </c>
      <c r="G41" s="70">
        <v>10</v>
      </c>
      <c r="H41" s="70">
        <v>31</v>
      </c>
      <c r="I41" s="70">
        <v>18</v>
      </c>
    </row>
    <row r="42" spans="1:9" ht="17.25" customHeight="1">
      <c r="A42" s="71">
        <v>31</v>
      </c>
      <c r="B42" s="70" t="s">
        <v>187</v>
      </c>
      <c r="C42" s="70">
        <v>39</v>
      </c>
      <c r="D42" s="70">
        <v>42</v>
      </c>
      <c r="E42" s="70">
        <v>25</v>
      </c>
      <c r="F42" s="70">
        <v>25</v>
      </c>
      <c r="G42" s="70">
        <v>7</v>
      </c>
      <c r="H42" s="70">
        <v>37</v>
      </c>
      <c r="I42" s="70">
        <v>3</v>
      </c>
    </row>
    <row r="43" spans="1:9" ht="17.25" customHeight="1">
      <c r="A43" s="71">
        <v>65</v>
      </c>
      <c r="B43" s="70" t="s">
        <v>181</v>
      </c>
      <c r="C43" s="70">
        <v>40</v>
      </c>
      <c r="D43" s="70">
        <v>37</v>
      </c>
      <c r="E43" s="70">
        <v>13</v>
      </c>
      <c r="F43" s="70">
        <v>37</v>
      </c>
      <c r="G43" s="70">
        <v>17</v>
      </c>
      <c r="H43" s="70">
        <v>39</v>
      </c>
      <c r="I43" s="70">
        <v>1</v>
      </c>
    </row>
    <row r="44" spans="1:9" ht="17.25" customHeight="1">
      <c r="A44" s="71">
        <v>67</v>
      </c>
      <c r="B44" s="70" t="s">
        <v>183</v>
      </c>
      <c r="C44" s="70">
        <v>41</v>
      </c>
      <c r="D44" s="70">
        <v>24</v>
      </c>
      <c r="E44" s="70">
        <v>9</v>
      </c>
      <c r="F44" s="70">
        <v>18</v>
      </c>
      <c r="G44" s="70">
        <v>40</v>
      </c>
      <c r="H44" s="70">
        <v>43</v>
      </c>
      <c r="I44" s="70">
        <v>4</v>
      </c>
    </row>
    <row r="45" spans="1:9" ht="17.25" customHeight="1">
      <c r="A45" s="71">
        <v>76</v>
      </c>
      <c r="B45" s="70" t="s">
        <v>195</v>
      </c>
      <c r="C45" s="70">
        <v>42</v>
      </c>
      <c r="D45" s="70">
        <v>27</v>
      </c>
      <c r="E45" s="70">
        <v>40</v>
      </c>
      <c r="F45" s="70">
        <v>3</v>
      </c>
      <c r="G45" s="70">
        <v>14</v>
      </c>
      <c r="H45" s="70">
        <v>23</v>
      </c>
      <c r="I45" s="70">
        <v>30</v>
      </c>
    </row>
    <row r="46" spans="1:9" ht="17.25" customHeight="1">
      <c r="A46" s="71">
        <v>15</v>
      </c>
      <c r="B46" s="70" t="s">
        <v>152</v>
      </c>
      <c r="C46" s="70">
        <v>43</v>
      </c>
      <c r="D46" s="70">
        <v>44</v>
      </c>
      <c r="E46" s="70">
        <v>20</v>
      </c>
      <c r="F46" s="70">
        <v>33</v>
      </c>
      <c r="G46" s="70">
        <v>12</v>
      </c>
      <c r="H46" s="70">
        <v>21</v>
      </c>
      <c r="I46" s="70">
        <v>15</v>
      </c>
    </row>
    <row r="47" spans="1:9" ht="17.25" customHeight="1">
      <c r="A47" s="71">
        <v>63</v>
      </c>
      <c r="B47" s="70" t="s">
        <v>151</v>
      </c>
      <c r="C47" s="70">
        <v>44</v>
      </c>
      <c r="D47" s="70">
        <v>15</v>
      </c>
      <c r="E47" s="70">
        <v>41</v>
      </c>
      <c r="F47" s="70">
        <v>2</v>
      </c>
      <c r="G47" s="70">
        <v>33</v>
      </c>
      <c r="H47" s="70">
        <v>33</v>
      </c>
      <c r="I47" s="70">
        <v>19</v>
      </c>
    </row>
    <row r="48" spans="1:9" ht="17.25" customHeight="1">
      <c r="A48" s="71">
        <v>12</v>
      </c>
      <c r="B48" s="70" t="s">
        <v>184</v>
      </c>
      <c r="C48" s="70">
        <v>45</v>
      </c>
      <c r="D48" s="70">
        <v>8</v>
      </c>
      <c r="E48" s="70">
        <v>38</v>
      </c>
      <c r="F48" s="70">
        <v>13</v>
      </c>
      <c r="G48" s="70">
        <v>42</v>
      </c>
      <c r="H48" s="70">
        <v>15</v>
      </c>
      <c r="I48" s="70">
        <v>22</v>
      </c>
    </row>
    <row r="49" spans="1:9" ht="17.25" customHeight="1">
      <c r="A49" s="71">
        <v>9</v>
      </c>
      <c r="B49" s="70" t="s">
        <v>167</v>
      </c>
      <c r="C49" s="70">
        <v>46</v>
      </c>
      <c r="D49" s="70">
        <v>33</v>
      </c>
      <c r="E49" s="70">
        <v>32</v>
      </c>
      <c r="F49" s="70">
        <v>43</v>
      </c>
      <c r="G49" s="70">
        <v>9</v>
      </c>
      <c r="H49" s="70">
        <v>18</v>
      </c>
      <c r="I49" s="70">
        <v>8</v>
      </c>
    </row>
  </sheetData>
  <sheetProtection password="CC71" sheet="1" objects="1" scenarios="1"/>
  <mergeCells count="4">
    <mergeCell ref="B2:B3"/>
    <mergeCell ref="A2:A3"/>
    <mergeCell ref="C2:C3"/>
    <mergeCell ref="A1:I1"/>
  </mergeCells>
  <phoneticPr fontId="2"/>
  <printOptions horizontalCentered="1"/>
  <pageMargins left="0.39370078740157483" right="0.39370078740157483" top="0.39370078740157483" bottom="0.39370078740157483" header="0" footer="0"/>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L35"/>
  <sheetViews>
    <sheetView zoomScaleNormal="100" workbookViewId="0"/>
  </sheetViews>
  <sheetFormatPr defaultColWidth="9" defaultRowHeight="13.5"/>
  <cols>
    <col min="1" max="3" width="6.875" style="75" customWidth="1"/>
    <col min="4" max="4" width="17.5" style="75" customWidth="1"/>
    <col min="5" max="5" width="10.875" style="75" customWidth="1"/>
    <col min="6" max="6" width="17.625" style="75" customWidth="1"/>
    <col min="7" max="7" width="10.875" style="75" customWidth="1"/>
    <col min="8" max="8" width="8.625" style="74" customWidth="1"/>
    <col min="9" max="9" width="8.625" style="75" customWidth="1"/>
    <col min="10" max="10" width="2.125" style="75" customWidth="1"/>
    <col min="11" max="16384" width="9" style="75"/>
  </cols>
  <sheetData>
    <row r="1" spans="1:12" ht="24" customHeight="1">
      <c r="B1" s="260">
        <v>1</v>
      </c>
      <c r="C1" s="424" t="str">
        <f>日!B1&amp;" 学年別大会（リーダー研修会・団体対策）"</f>
        <v>令和元年度 学年別大会（リーダー研修会・団体対策）</v>
      </c>
      <c r="D1" s="425"/>
      <c r="E1" s="425"/>
      <c r="F1" s="425"/>
      <c r="G1" s="426"/>
      <c r="K1" s="436" t="s">
        <v>252</v>
      </c>
      <c r="L1" s="436" t="s">
        <v>251</v>
      </c>
    </row>
    <row r="2" spans="1:12" ht="10.5" customHeight="1">
      <c r="B2" s="282"/>
      <c r="C2" s="282"/>
      <c r="D2" s="283"/>
      <c r="E2" s="283"/>
      <c r="F2" s="283"/>
      <c r="G2" s="283"/>
      <c r="I2" s="264"/>
      <c r="K2" s="436"/>
      <c r="L2" s="436"/>
    </row>
    <row r="3" spans="1:12" ht="24.75" customHeight="1">
      <c r="B3" s="436" t="s">
        <v>11</v>
      </c>
      <c r="C3" s="436"/>
      <c r="D3" s="457" t="str">
        <f>IF(K4="","",IF(LENB(K4)+LENB(L4)&gt;=14,K4&amp;L4,IF(LENB(L4)=8,IF(LENB(K4)&lt;=6,IF(LENB(K4)=2,K4&amp;"　　",IF(LENB(K4)=4,LEFT(K4,1)&amp;"　"&amp;RIGHT(K4,1),K4)),K4),IF(LENB(K4)&lt;=6,IF(LENB(K4)=2,K4&amp;"　　　",IF(LENB(K4)=4,LEFT(K4,1)&amp;"　"&amp;RIGHT(K4,1)&amp;"　",K4&amp;"　")),K4)))&amp;IF(K4="","",IF(LENB(K4)+LENB(L4)&gt;=14,"",IF(LENB(L4)=2,"　　"&amp;L4,IF(LENB(L4)=4,LEFT(L4,1)&amp;"　"&amp;RIGHT(L4,1),L4)))))</f>
        <v>○　○　○　○</v>
      </c>
      <c r="E3" s="457"/>
      <c r="F3" s="457"/>
      <c r="G3" s="457"/>
      <c r="I3" s="264"/>
      <c r="J3" s="74"/>
      <c r="K3" s="62" t="s">
        <v>531</v>
      </c>
      <c r="L3" s="62" t="s">
        <v>531</v>
      </c>
    </row>
    <row r="4" spans="1:12" ht="10.5" customHeight="1">
      <c r="B4" s="282"/>
      <c r="C4" s="282"/>
      <c r="D4" s="283"/>
      <c r="E4" s="283"/>
      <c r="F4" s="283"/>
      <c r="G4" s="283"/>
      <c r="I4" s="264"/>
      <c r="K4" s="284" t="str">
        <f>SUBSTITUTE(SUBSTITUTE(K3," ",""),"　","")</f>
        <v>○○</v>
      </c>
      <c r="L4" s="284" t="str">
        <f>SUBSTITUTE(SUBSTITUTE(L3," ",""),"　","")</f>
        <v>○○</v>
      </c>
    </row>
    <row r="5" spans="1:12" ht="18.75" customHeight="1">
      <c r="B5" s="458" t="s">
        <v>39</v>
      </c>
      <c r="C5" s="458"/>
      <c r="D5" s="285">
        <v>22</v>
      </c>
      <c r="E5" s="286" t="s">
        <v>25</v>
      </c>
      <c r="F5" s="285">
        <v>23</v>
      </c>
      <c r="G5" s="286" t="s">
        <v>26</v>
      </c>
      <c r="I5" s="264"/>
    </row>
    <row r="6" spans="1:12" ht="18.75" customHeight="1">
      <c r="B6" s="458" t="s">
        <v>40</v>
      </c>
      <c r="C6" s="458"/>
      <c r="D6" s="287">
        <f>VLOOKUP(D5,日!$B$2:$F$111,3,0)</f>
        <v>43839</v>
      </c>
      <c r="E6" s="288" t="str">
        <f>TEXT(WEEKDAY(D6,1),"aaaa")</f>
        <v>木曜日</v>
      </c>
      <c r="F6" s="287">
        <f>VLOOKUP(F5,日!$B$2:$F$111,3,0)</f>
        <v>43839</v>
      </c>
      <c r="G6" s="288" t="str">
        <f>TEXT(WEEKDAY(F6,1),"aaaa")</f>
        <v>木曜日</v>
      </c>
      <c r="I6" s="264"/>
    </row>
    <row r="7" spans="1:12" ht="18.75" customHeight="1">
      <c r="B7" s="458" t="s">
        <v>38</v>
      </c>
      <c r="C7" s="458"/>
      <c r="D7" s="289">
        <f>VLOOKUP(D5,日!$B$2:$F$111,5,0)</f>
        <v>43905</v>
      </c>
      <c r="E7" s="290" t="str">
        <f>TEXT(WEEKDAY(D7,1),"aaaa")</f>
        <v>日曜日</v>
      </c>
      <c r="F7" s="289">
        <f>VLOOKUP(F5,日!$B$2:$F$111,5,0)</f>
        <v>43904</v>
      </c>
      <c r="G7" s="290" t="str">
        <f>TEXT(WEEKDAY(F7,1),"aaaa")</f>
        <v>土曜日</v>
      </c>
      <c r="I7" s="264"/>
    </row>
    <row r="8" spans="1:12" ht="18.75" customHeight="1">
      <c r="B8" s="458" t="s">
        <v>41</v>
      </c>
      <c r="C8" s="458"/>
      <c r="D8" s="459" t="s">
        <v>45</v>
      </c>
      <c r="E8" s="460"/>
      <c r="F8" s="395" t="s">
        <v>46</v>
      </c>
      <c r="G8" s="396"/>
      <c r="I8" s="264"/>
    </row>
    <row r="9" spans="1:12">
      <c r="B9" s="264"/>
      <c r="C9" s="264"/>
      <c r="D9" s="291"/>
      <c r="E9" s="291"/>
      <c r="F9" s="291"/>
      <c r="G9" s="291"/>
      <c r="I9" s="264"/>
    </row>
    <row r="10" spans="1:12" ht="21">
      <c r="B10" s="414" t="s">
        <v>206</v>
      </c>
      <c r="C10" s="414"/>
      <c r="D10" s="414"/>
      <c r="E10" s="414"/>
      <c r="F10" s="414"/>
      <c r="G10" s="414"/>
    </row>
    <row r="11" spans="1:12">
      <c r="A11" s="261" t="s">
        <v>5</v>
      </c>
      <c r="B11" s="260" t="s">
        <v>354</v>
      </c>
      <c r="C11" s="262" t="s">
        <v>10</v>
      </c>
      <c r="D11" s="93" t="s">
        <v>33</v>
      </c>
      <c r="E11" s="94" t="s">
        <v>12</v>
      </c>
      <c r="F11" s="95" t="s">
        <v>13</v>
      </c>
      <c r="G11" s="96" t="s">
        <v>14</v>
      </c>
      <c r="H11" s="260" t="s">
        <v>47</v>
      </c>
      <c r="I11" s="96" t="s">
        <v>250</v>
      </c>
    </row>
    <row r="12" spans="1:12" ht="15.75" customHeight="1">
      <c r="A12" s="292">
        <v>1</v>
      </c>
      <c r="B12" s="472" t="s">
        <v>352</v>
      </c>
      <c r="C12" s="293" t="str">
        <f>IF(D12="","",登!$F$1)</f>
        <v/>
      </c>
      <c r="D12" s="504"/>
      <c r="E12" s="99">
        <v>1</v>
      </c>
      <c r="F12" s="100" t="str">
        <f>IF(D12="","",IF(AND(G12=1,INT(VALUE(RIGHT(D12,3))/100)=$A$12),VLOOKUP(D12,登!$B$4:$I$103,7,0),"部員番号入力ミス"))</f>
        <v/>
      </c>
      <c r="G12" s="119" t="str">
        <f>IF(D12="","",IF(INT(VALUE(RIGHT(D12,3))/100)=$A$12,IF(VLOOKUP(D12,登!$B$4:$I$103,2,0)=登!$B$1,1,IF(VLOOKUP(D12,登!$B$4:$I$103,2,0)=登!$B$1-1,2,IF(VLOOKUP(D12,登!$B$4:$I$103,2,0)=登!$B$1-2,3,"学年ミス"))),"番号ミス"))</f>
        <v/>
      </c>
      <c r="H12" s="119" t="str">
        <f>IF(D12="","",IF(COUNTIF($D$12:$D$35,D12)&gt;1,"選手重複!!","OK"))</f>
        <v/>
      </c>
      <c r="I12" s="119" t="str">
        <f>IF(D12="","",IF(VLOOKUP(D12,登!$B$4:$I$103,3,0)=1,"男","女"))</f>
        <v/>
      </c>
    </row>
    <row r="13" spans="1:12" ht="15.75" customHeight="1">
      <c r="A13" s="475" t="s">
        <v>25</v>
      </c>
      <c r="B13" s="473"/>
      <c r="C13" s="294" t="str">
        <f>IF(D13="","",登!$F$1)</f>
        <v/>
      </c>
      <c r="D13" s="505"/>
      <c r="E13" s="105">
        <v>2</v>
      </c>
      <c r="F13" s="106" t="str">
        <f>IF(D13="","",IF(AND(G13=1,INT(VALUE(RIGHT(D13,3))/100)=$A$12),VLOOKUP(D13,登!$B$4:$I$103,7,0),"部員番号入力ミス"))</f>
        <v/>
      </c>
      <c r="G13" s="108" t="str">
        <f>IF(D13="","",IF(INT(VALUE(RIGHT(D13,3))/100)=$A$12,IF(VLOOKUP(D13,登!$B$4:$I$103,2,0)=登!$B$1,1,IF(VLOOKUP(D13,登!$B$4:$I$103,2,0)=登!$B$1-1,2,IF(VLOOKUP(D13,登!$B$4:$I$103,2,0)=登!$B$1-2,3,"学年ミス"))),"番号ミス"))</f>
        <v/>
      </c>
      <c r="H13" s="108" t="str">
        <f t="shared" ref="H13:H35" si="0">IF(D13="","",IF(COUNTIF($D$12:$D$35,D13)&gt;1,"選手重複!!","OK"))</f>
        <v/>
      </c>
      <c r="I13" s="108" t="str">
        <f>IF(D13="","",IF(VLOOKUP(D13,登!$B$4:$I$103,3,0)=1,"男","女"))</f>
        <v/>
      </c>
    </row>
    <row r="14" spans="1:12" ht="15.75" customHeight="1">
      <c r="A14" s="476"/>
      <c r="B14" s="473"/>
      <c r="C14" s="294" t="str">
        <f>IF(D14="","",登!$F$1)</f>
        <v/>
      </c>
      <c r="D14" s="505"/>
      <c r="E14" s="105">
        <v>3</v>
      </c>
      <c r="F14" s="106" t="str">
        <f>IF(D14="","",IF(AND(G14=1,INT(VALUE(RIGHT(D14,3))/100)=$A$12),VLOOKUP(D14,登!$B$4:$I$103,7,0),"部員番号入力ミス"))</f>
        <v/>
      </c>
      <c r="G14" s="108" t="str">
        <f>IF(D14="","",IF(INT(VALUE(RIGHT(D14,3))/100)=$A$12,IF(VLOOKUP(D14,登!$B$4:$I$103,2,0)=登!$B$1,1,IF(VLOOKUP(D14,登!$B$4:$I$103,2,0)=登!$B$1-1,2,IF(VLOOKUP(D14,登!$B$4:$I$103,2,0)=登!$B$1-2,3,"学年ミス"))),"番号ミス"))</f>
        <v/>
      </c>
      <c r="H14" s="108" t="str">
        <f t="shared" si="0"/>
        <v/>
      </c>
      <c r="I14" s="108" t="str">
        <f>IF(D14="","",IF(VLOOKUP(D14,登!$B$4:$I$103,3,0)=1,"男","女"))</f>
        <v/>
      </c>
    </row>
    <row r="15" spans="1:12" ht="15.75" customHeight="1">
      <c r="A15" s="476"/>
      <c r="B15" s="473"/>
      <c r="C15" s="294" t="str">
        <f>IF(D15="","",登!$F$1)</f>
        <v/>
      </c>
      <c r="D15" s="505"/>
      <c r="E15" s="105">
        <v>4</v>
      </c>
      <c r="F15" s="106" t="str">
        <f>IF(D15="","",IF(AND(G15=1,INT(VALUE(RIGHT(D15,3))/100)=$A$12),VLOOKUP(D15,登!$B$4:$I$103,7,0),"部員番号入力ミス"))</f>
        <v/>
      </c>
      <c r="G15" s="108" t="str">
        <f>IF(D15="","",IF(INT(VALUE(RIGHT(D15,3))/100)=$A$12,IF(VLOOKUP(D15,登!$B$4:$I$103,2,0)=登!$B$1,1,IF(VLOOKUP(D15,登!$B$4:$I$103,2,0)=登!$B$1-1,2,IF(VLOOKUP(D15,登!$B$4:$I$103,2,0)=登!$B$1-2,3,"学年ミス"))),"番号ミス"))</f>
        <v/>
      </c>
      <c r="H15" s="108" t="str">
        <f t="shared" si="0"/>
        <v/>
      </c>
      <c r="I15" s="108" t="str">
        <f>IF(D15="","",IF(VLOOKUP(D15,登!$B$4:$I$103,3,0)=1,"男","女"))</f>
        <v/>
      </c>
    </row>
    <row r="16" spans="1:12" ht="15.75" customHeight="1">
      <c r="A16" s="476"/>
      <c r="B16" s="473"/>
      <c r="C16" s="294" t="str">
        <f>IF(D16="","",登!$F$1)</f>
        <v/>
      </c>
      <c r="D16" s="505"/>
      <c r="E16" s="105">
        <v>5</v>
      </c>
      <c r="F16" s="106" t="str">
        <f>IF(D16="","",IF(AND(G16=1,INT(VALUE(RIGHT(D16,3))/100)=$A$12),VLOOKUP(D16,登!$B$4:$I$103,7,0),"部員番号入力ミス"))</f>
        <v/>
      </c>
      <c r="G16" s="108" t="str">
        <f>IF(D16="","",IF(INT(VALUE(RIGHT(D16,3))/100)=$A$12,IF(VLOOKUP(D16,登!$B$4:$I$103,2,0)=登!$B$1,1,IF(VLOOKUP(D16,登!$B$4:$I$103,2,0)=登!$B$1-1,2,IF(VLOOKUP(D16,登!$B$4:$I$103,2,0)=登!$B$1-2,3,"学年ミス"))),"番号ミス"))</f>
        <v/>
      </c>
      <c r="H16" s="108" t="str">
        <f t="shared" si="0"/>
        <v/>
      </c>
      <c r="I16" s="108" t="str">
        <f>IF(D16="","",IF(VLOOKUP(D16,登!$B$4:$I$103,3,0)=1,"男","女"))</f>
        <v/>
      </c>
    </row>
    <row r="17" spans="1:9" ht="15.75" customHeight="1">
      <c r="A17" s="476"/>
      <c r="B17" s="474"/>
      <c r="C17" s="295" t="str">
        <f>IF(D17="","",登!$F$1)</f>
        <v/>
      </c>
      <c r="D17" s="506"/>
      <c r="E17" s="132">
        <v>6</v>
      </c>
      <c r="F17" s="133" t="str">
        <f>IF(D17="","",IF(AND(G17=1,INT(VALUE(RIGHT(D17,3))/100)=$A$12),VLOOKUP(D17,登!$B$4:$I$103,7,0),"部員番号入力ミス"))</f>
        <v/>
      </c>
      <c r="G17" s="296" t="str">
        <f>IF(D17="","",IF(INT(VALUE(RIGHT(D17,3))/100)=$A$12,IF(VLOOKUP(D17,登!$B$4:$I$103,2,0)=登!$B$1,1,IF(VLOOKUP(D17,登!$B$4:$I$103,2,0)=登!$B$1-1,2,IF(VLOOKUP(D17,登!$B$4:$I$103,2,0)=登!$B$1-2,3,"学年ミス"))),"番号ミス"))</f>
        <v/>
      </c>
      <c r="H17" s="296" t="str">
        <f t="shared" si="0"/>
        <v/>
      </c>
      <c r="I17" s="296" t="str">
        <f>IF(D17="","",IF(VLOOKUP(D17,登!$B$4:$I$103,3,0)=1,"男","女"))</f>
        <v/>
      </c>
    </row>
    <row r="18" spans="1:9" ht="15.75" customHeight="1">
      <c r="A18" s="476"/>
      <c r="B18" s="472" t="s">
        <v>353</v>
      </c>
      <c r="C18" s="293" t="str">
        <f>IF(D18="","",登!$F$1)</f>
        <v/>
      </c>
      <c r="D18" s="504"/>
      <c r="E18" s="99">
        <v>7</v>
      </c>
      <c r="F18" s="100" t="str">
        <f>IF(D18="","",IF(AND(G18=2,INT(VALUE(RIGHT(D18,3))/100)=$A$12),VLOOKUP(D18,登!$B$4:$I$103,7,0),"部員番号入力ミス"))</f>
        <v/>
      </c>
      <c r="G18" s="119" t="str">
        <f>IF(D18="","",IF(INT(VALUE(RIGHT(D18,3))/100)=$A$12,IF(VLOOKUP(D18,登!$B$4:$I$103,2,0)=登!$B$1,1,IF(VLOOKUP(D18,登!$B$4:$I$103,2,0)=登!$B$1-1,2,IF(VLOOKUP(D18,登!$B$4:$I$103,2,0)=登!$B$1-2,3,"学年ミス"))),"番号ミス"))</f>
        <v/>
      </c>
      <c r="H18" s="119" t="str">
        <f t="shared" si="0"/>
        <v/>
      </c>
      <c r="I18" s="119" t="str">
        <f>IF(D18="","",IF(VLOOKUP(D18,登!$B$4:$I$103,3,0)=1,"男","女"))</f>
        <v/>
      </c>
    </row>
    <row r="19" spans="1:9" ht="15.75" customHeight="1">
      <c r="A19" s="476"/>
      <c r="B19" s="473"/>
      <c r="C19" s="297" t="str">
        <f>IF(D19="","",登!$F$1)</f>
        <v/>
      </c>
      <c r="D19" s="516"/>
      <c r="E19" s="112">
        <v>8</v>
      </c>
      <c r="F19" s="113" t="str">
        <f>IF(D19="","",IF(AND(G19=2,INT(VALUE(RIGHT(D19,3))/100)=$A$12),VLOOKUP(D19,登!$B$4:$I$103,7,0),"部員番号入力ミス"))</f>
        <v/>
      </c>
      <c r="G19" s="298" t="str">
        <f>IF(D19="","",IF(INT(VALUE(RIGHT(D19,3))/100)=$A$12,IF(VLOOKUP(D19,登!$B$4:$I$103,2,0)=登!$B$1,1,IF(VLOOKUP(D19,登!$B$4:$I$103,2,0)=登!$B$1-1,2,IF(VLOOKUP(D19,登!$B$4:$I$103,2,0)=登!$B$1-2,3,"学年ミス"))),"番号ミス"))</f>
        <v/>
      </c>
      <c r="H19" s="298" t="str">
        <f t="shared" si="0"/>
        <v/>
      </c>
      <c r="I19" s="298" t="str">
        <f>IF(D19="","",IF(VLOOKUP(D19,登!$B$4:$I$103,3,0)=1,"男","女"))</f>
        <v/>
      </c>
    </row>
    <row r="20" spans="1:9" ht="15.75" customHeight="1">
      <c r="A20" s="476"/>
      <c r="B20" s="473"/>
      <c r="C20" s="297" t="str">
        <f>IF(D20="","",登!$F$1)</f>
        <v/>
      </c>
      <c r="D20" s="516"/>
      <c r="E20" s="112">
        <v>9</v>
      </c>
      <c r="F20" s="113" t="str">
        <f>IF(D20="","",IF(AND(G20=2,INT(VALUE(RIGHT(D20,3))/100)=$A$12),VLOOKUP(D20,登!$B$4:$I$103,7,0),"部員番号入力ミス"))</f>
        <v/>
      </c>
      <c r="G20" s="298" t="str">
        <f>IF(D20="","",IF(INT(VALUE(RIGHT(D20,3))/100)=$A$12,IF(VLOOKUP(D20,登!$B$4:$I$103,2,0)=登!$B$1,1,IF(VLOOKUP(D20,登!$B$4:$I$103,2,0)=登!$B$1-1,2,IF(VLOOKUP(D20,登!$B$4:$I$103,2,0)=登!$B$1-2,3,"学年ミス"))),"番号ミス"))</f>
        <v/>
      </c>
      <c r="H20" s="298" t="str">
        <f t="shared" si="0"/>
        <v/>
      </c>
      <c r="I20" s="298" t="str">
        <f>IF(D20="","",IF(VLOOKUP(D20,登!$B$4:$I$103,3,0)=1,"男","女"))</f>
        <v/>
      </c>
    </row>
    <row r="21" spans="1:9" ht="15.75" customHeight="1">
      <c r="A21" s="476"/>
      <c r="B21" s="473"/>
      <c r="C21" s="294" t="str">
        <f>IF(D21="","",登!$F$1)</f>
        <v/>
      </c>
      <c r="D21" s="505"/>
      <c r="E21" s="105">
        <v>10</v>
      </c>
      <c r="F21" s="106" t="str">
        <f>IF(D21="","",IF(AND(G21=2,INT(VALUE(RIGHT(D21,3))/100)=$A$12),VLOOKUP(D21,登!$B$4:$I$103,7,0),"部員番号入力ミス"))</f>
        <v/>
      </c>
      <c r="G21" s="108" t="str">
        <f>IF(D21="","",IF(INT(VALUE(RIGHT(D21,3))/100)=$A$12,IF(VLOOKUP(D21,登!$B$4:$I$103,2,0)=登!$B$1,1,IF(VLOOKUP(D21,登!$B$4:$I$103,2,0)=登!$B$1-1,2,IF(VLOOKUP(D21,登!$B$4:$I$103,2,0)=登!$B$1-2,3,"学年ミス"))),"番号ミス"))</f>
        <v/>
      </c>
      <c r="H21" s="108" t="str">
        <f t="shared" si="0"/>
        <v/>
      </c>
      <c r="I21" s="108" t="str">
        <f>IF(D21="","",IF(VLOOKUP(D21,登!$B$4:$I$103,3,0)=1,"男","女"))</f>
        <v/>
      </c>
    </row>
    <row r="22" spans="1:9" ht="15.75" customHeight="1">
      <c r="A22" s="476"/>
      <c r="B22" s="473"/>
      <c r="C22" s="294" t="str">
        <f>IF(D22="","",登!$F$1)</f>
        <v/>
      </c>
      <c r="D22" s="505"/>
      <c r="E22" s="105">
        <v>11</v>
      </c>
      <c r="F22" s="106" t="str">
        <f>IF(D22="","",IF(AND(G22=2,INT(VALUE(RIGHT(D22,3))/100)=$A$12),VLOOKUP(D22,登!$B$4:$I$103,7,0),"部員番号入力ミス"))</f>
        <v/>
      </c>
      <c r="G22" s="108" t="str">
        <f>IF(D22="","",IF(INT(VALUE(RIGHT(D22,3))/100)=$A$12,IF(VLOOKUP(D22,登!$B$4:$I$103,2,0)=登!$B$1,1,IF(VLOOKUP(D22,登!$B$4:$I$103,2,0)=登!$B$1-1,2,IF(VLOOKUP(D22,登!$B$4:$I$103,2,0)=登!$B$1-2,3,"学年ミス"))),"番号ミス"))</f>
        <v/>
      </c>
      <c r="H22" s="108" t="str">
        <f t="shared" si="0"/>
        <v/>
      </c>
      <c r="I22" s="108" t="str">
        <f>IF(D22="","",IF(VLOOKUP(D22,登!$B$4:$I$103,3,0)=1,"男","女"))</f>
        <v/>
      </c>
    </row>
    <row r="23" spans="1:9" ht="15.75" customHeight="1">
      <c r="A23" s="477"/>
      <c r="B23" s="474"/>
      <c r="C23" s="295" t="str">
        <f>IF(D23="","",登!$F$1)</f>
        <v/>
      </c>
      <c r="D23" s="506"/>
      <c r="E23" s="132">
        <v>12</v>
      </c>
      <c r="F23" s="133" t="str">
        <f>IF(D23="","",IF(AND(G23=2,INT(VALUE(RIGHT(D23,3))/100)=$A$12),VLOOKUP(D23,登!$B$4:$I$103,7,0),"部員番号入力ミス"))</f>
        <v/>
      </c>
      <c r="G23" s="296" t="str">
        <f>IF(D23="","",IF(INT(VALUE(RIGHT(D23,3))/100)=$A$12,IF(VLOOKUP(D23,登!$B$4:$I$103,2,0)=登!$B$1,1,IF(VLOOKUP(D23,登!$B$4:$I$103,2,0)=登!$B$1-1,2,IF(VLOOKUP(D23,登!$B$4:$I$103,2,0)=登!$B$1-2,3,"学年ミス"))),"番号ミス"))</f>
        <v/>
      </c>
      <c r="H23" s="296" t="str">
        <f t="shared" si="0"/>
        <v/>
      </c>
      <c r="I23" s="296" t="str">
        <f>IF(D23="","",IF(VLOOKUP(D23,登!$B$4:$I$103,3,0)=1,"男","女"))</f>
        <v/>
      </c>
    </row>
    <row r="24" spans="1:9" ht="15.75" customHeight="1">
      <c r="A24" s="299">
        <v>2</v>
      </c>
      <c r="B24" s="472" t="s">
        <v>352</v>
      </c>
      <c r="C24" s="293" t="str">
        <f>IF(D24="","",登!$F$1)</f>
        <v/>
      </c>
      <c r="D24" s="504"/>
      <c r="E24" s="99">
        <v>1</v>
      </c>
      <c r="F24" s="100" t="str">
        <f>IF(D24="","",IF(AND(G24=1,INT(VALUE(RIGHT(D24,3))/100)=$A$24),VLOOKUP(D24,登!$B$4:$I$103,7,0),"部員番号入力ミス"))</f>
        <v/>
      </c>
      <c r="G24" s="119" t="str">
        <f>IF(D24="","",IF(INT(VALUE(RIGHT(D24,3))/100)=$A$24,IF(VLOOKUP(D24,登!$B$4:$I$103,2,0)=登!$B$1,1,IF(VLOOKUP(D24,登!$B$4:$I$103,2,0)=登!$B$1-1,2,IF(VLOOKUP(D24,登!$B$4:$I$103,2,0)=登!$B$1-2,3,"学年ミス"))),"番号ミス"))</f>
        <v/>
      </c>
      <c r="H24" s="119" t="str">
        <f t="shared" si="0"/>
        <v/>
      </c>
      <c r="I24" s="119" t="str">
        <f>IF(D24="","",IF(VLOOKUP(D24,登!$B$4:$I$103,3,0)=1,"男","女"))</f>
        <v/>
      </c>
    </row>
    <row r="25" spans="1:9" ht="15.75" customHeight="1">
      <c r="A25" s="478" t="s">
        <v>26</v>
      </c>
      <c r="B25" s="473"/>
      <c r="C25" s="297" t="str">
        <f>IF(D25="","",登!$F$1)</f>
        <v/>
      </c>
      <c r="D25" s="516"/>
      <c r="E25" s="105">
        <v>2</v>
      </c>
      <c r="F25" s="113" t="str">
        <f>IF(D25="","",IF(AND(G25=1,INT(VALUE(RIGHT(D25,3))/100)=$A$24),VLOOKUP(D25,登!$B$4:$I$103,7,0),"部員番号入力ミス"))</f>
        <v/>
      </c>
      <c r="G25" s="298" t="str">
        <f>IF(D25="","",IF(INT(VALUE(RIGHT(D25,3))/100)=$A$24,IF(VLOOKUP(D25,登!$B$4:$I$103,2,0)=登!$B$1,1,IF(VLOOKUP(D25,登!$B$4:$I$103,2,0)=登!$B$1-1,2,IF(VLOOKUP(D25,登!$B$4:$I$103,2,0)=登!$B$1-2,3,"学年ミス"))),"番号ミス"))</f>
        <v/>
      </c>
      <c r="H25" s="298" t="str">
        <f t="shared" si="0"/>
        <v/>
      </c>
      <c r="I25" s="298" t="str">
        <f>IF(D25="","",IF(VLOOKUP(D25,登!$B$4:$I$103,3,0)=1,"男","女"))</f>
        <v/>
      </c>
    </row>
    <row r="26" spans="1:9" ht="15.75" customHeight="1">
      <c r="A26" s="473"/>
      <c r="B26" s="473"/>
      <c r="C26" s="297" t="str">
        <f>IF(D26="","",登!$F$1)</f>
        <v/>
      </c>
      <c r="D26" s="516"/>
      <c r="E26" s="105">
        <v>3</v>
      </c>
      <c r="F26" s="113" t="str">
        <f>IF(D26="","",IF(AND(G26=1,INT(VALUE(RIGHT(D26,3))/100)=$A$24),VLOOKUP(D26,登!$B$4:$I$103,7,0),"部員番号入力ミス"))</f>
        <v/>
      </c>
      <c r="G26" s="298" t="str">
        <f>IF(D26="","",IF(INT(VALUE(RIGHT(D26,3))/100)=$A$24,IF(VLOOKUP(D26,登!$B$4:$I$103,2,0)=登!$B$1,1,IF(VLOOKUP(D26,登!$B$4:$I$103,2,0)=登!$B$1-1,2,IF(VLOOKUP(D26,登!$B$4:$I$103,2,0)=登!$B$1-2,3,"学年ミス"))),"番号ミス"))</f>
        <v/>
      </c>
      <c r="H26" s="298" t="str">
        <f t="shared" si="0"/>
        <v/>
      </c>
      <c r="I26" s="298" t="str">
        <f>IF(D26="","",IF(VLOOKUP(D26,登!$B$4:$I$103,3,0)=1,"男","女"))</f>
        <v/>
      </c>
    </row>
    <row r="27" spans="1:9" ht="15.75" customHeight="1">
      <c r="A27" s="473"/>
      <c r="B27" s="473"/>
      <c r="C27" s="294" t="str">
        <f>IF(D27="","",登!$F$1)</f>
        <v/>
      </c>
      <c r="D27" s="505"/>
      <c r="E27" s="105">
        <v>4</v>
      </c>
      <c r="F27" s="106" t="str">
        <f>IF(D27="","",IF(AND(G27=1,INT(VALUE(RIGHT(D27,3))/100)=$A$24),VLOOKUP(D27,登!$B$4:$I$103,7,0),"部員番号入力ミス"))</f>
        <v/>
      </c>
      <c r="G27" s="108" t="str">
        <f>IF(D27="","",IF(INT(VALUE(RIGHT(D27,3))/100)=$A$24,IF(VLOOKUP(D27,登!$B$4:$I$103,2,0)=登!$B$1,1,IF(VLOOKUP(D27,登!$B$4:$I$103,2,0)=登!$B$1-1,2,IF(VLOOKUP(D27,登!$B$4:$I$103,2,0)=登!$B$1-2,3,"学年ミス"))),"番号ミス"))</f>
        <v/>
      </c>
      <c r="H27" s="108" t="str">
        <f t="shared" si="0"/>
        <v/>
      </c>
      <c r="I27" s="108" t="str">
        <f>IF(D27="","",IF(VLOOKUP(D27,登!$B$4:$I$103,3,0)=1,"男","女"))</f>
        <v/>
      </c>
    </row>
    <row r="28" spans="1:9" ht="15.75" customHeight="1">
      <c r="A28" s="473"/>
      <c r="B28" s="473"/>
      <c r="C28" s="294" t="str">
        <f>IF(D28="","",登!$F$1)</f>
        <v/>
      </c>
      <c r="D28" s="505"/>
      <c r="E28" s="105">
        <v>5</v>
      </c>
      <c r="F28" s="106" t="str">
        <f>IF(D28="","",IF(AND(G28=1,INT(VALUE(RIGHT(D28,3))/100)=$A$24),VLOOKUP(D28,登!$B$4:$I$103,7,0),"部員番号入力ミス"))</f>
        <v/>
      </c>
      <c r="G28" s="108" t="str">
        <f>IF(D28="","",IF(INT(VALUE(RIGHT(D28,3))/100)=$A$24,IF(VLOOKUP(D28,登!$B$4:$I$103,2,0)=登!$B$1,1,IF(VLOOKUP(D28,登!$B$4:$I$103,2,0)=登!$B$1-1,2,IF(VLOOKUP(D28,登!$B$4:$I$103,2,0)=登!$B$1-2,3,"学年ミス"))),"番号ミス"))</f>
        <v/>
      </c>
      <c r="H28" s="108" t="str">
        <f t="shared" si="0"/>
        <v/>
      </c>
      <c r="I28" s="108" t="str">
        <f>IF(D28="","",IF(VLOOKUP(D28,登!$B$4:$I$103,3,0)=1,"男","女"))</f>
        <v/>
      </c>
    </row>
    <row r="29" spans="1:9" ht="15.75" customHeight="1">
      <c r="A29" s="473"/>
      <c r="B29" s="474"/>
      <c r="C29" s="295" t="str">
        <f>IF(D29="","",登!$F$1)</f>
        <v/>
      </c>
      <c r="D29" s="506"/>
      <c r="E29" s="132">
        <v>6</v>
      </c>
      <c r="F29" s="133" t="str">
        <f>IF(D29="","",IF(AND(G29=1,INT(VALUE(RIGHT(D29,3))/100)=$A$24),VLOOKUP(D29,登!$B$4:$I$103,7,0),"部員番号入力ミス"))</f>
        <v/>
      </c>
      <c r="G29" s="296" t="str">
        <f>IF(D29="","",IF(INT(VALUE(RIGHT(D29,3))/100)=$A$24,IF(VLOOKUP(D29,登!$B$4:$I$103,2,0)=登!$B$1,1,IF(VLOOKUP(D29,登!$B$4:$I$103,2,0)=登!$B$1-1,2,IF(VLOOKUP(D29,登!$B$4:$I$103,2,0)=登!$B$1-2,3,"学年ミス"))),"番号ミス"))</f>
        <v/>
      </c>
      <c r="H29" s="296" t="str">
        <f t="shared" si="0"/>
        <v/>
      </c>
      <c r="I29" s="296" t="str">
        <f>IF(D29="","",IF(VLOOKUP(D29,登!$B$4:$I$103,3,0)=1,"男","女"))</f>
        <v/>
      </c>
    </row>
    <row r="30" spans="1:9" ht="15.75" customHeight="1">
      <c r="A30" s="473"/>
      <c r="B30" s="472" t="s">
        <v>353</v>
      </c>
      <c r="C30" s="293" t="str">
        <f>IF(D30="","",登!$F$1)</f>
        <v/>
      </c>
      <c r="D30" s="504"/>
      <c r="E30" s="99">
        <v>7</v>
      </c>
      <c r="F30" s="100" t="str">
        <f>IF(D30="","",IF(AND(G30=2,INT(VALUE(RIGHT(D30,3))/100)=$A$24),VLOOKUP(D30,登!$B$4:$I$103,7,0),"部員番号入力ミス"))</f>
        <v/>
      </c>
      <c r="G30" s="119" t="str">
        <f>IF(D30="","",IF(INT(VALUE(RIGHT(D30,3))/100)=$A$24,IF(VLOOKUP(D30,登!$B$4:$I$103,2,0)=登!$B$1,1,IF(VLOOKUP(D30,登!$B$4:$I$103,2,0)=登!$B$1-1,2,IF(VLOOKUP(D30,登!$B$4:$I$103,2,0)=登!$B$1-2,3,"学年ミス"))),"番号ミス"))</f>
        <v/>
      </c>
      <c r="H30" s="119" t="str">
        <f t="shared" si="0"/>
        <v/>
      </c>
      <c r="I30" s="119" t="str">
        <f>IF(D30="","",IF(VLOOKUP(D30,登!$B$4:$I$103,3,0)=1,"男","女"))</f>
        <v/>
      </c>
    </row>
    <row r="31" spans="1:9" ht="15.75" customHeight="1">
      <c r="A31" s="473"/>
      <c r="B31" s="473"/>
      <c r="C31" s="297" t="str">
        <f>IF(D31="","",登!$F$1)</f>
        <v/>
      </c>
      <c r="D31" s="516"/>
      <c r="E31" s="112">
        <v>8</v>
      </c>
      <c r="F31" s="113" t="str">
        <f>IF(D31="","",IF(AND(G31=2,INT(VALUE(RIGHT(D31,3))/100)=$A$24),VLOOKUP(D31,登!$B$4:$I$103,7,0),"部員番号入力ミス"))</f>
        <v/>
      </c>
      <c r="G31" s="298" t="str">
        <f>IF(D31="","",IF(INT(VALUE(RIGHT(D31,3))/100)=$A$24,IF(VLOOKUP(D31,登!$B$4:$I$103,2,0)=登!$B$1,1,IF(VLOOKUP(D31,登!$B$4:$I$103,2,0)=登!$B$1-1,2,IF(VLOOKUP(D31,登!$B$4:$I$103,2,0)=登!$B$1-2,3,"学年ミス"))),"番号ミス"))</f>
        <v/>
      </c>
      <c r="H31" s="298" t="str">
        <f t="shared" si="0"/>
        <v/>
      </c>
      <c r="I31" s="298" t="str">
        <f>IF(D31="","",IF(VLOOKUP(D31,登!$B$4:$I$103,3,0)=1,"男","女"))</f>
        <v/>
      </c>
    </row>
    <row r="32" spans="1:9" ht="15.75" customHeight="1">
      <c r="A32" s="473"/>
      <c r="B32" s="473"/>
      <c r="C32" s="297" t="str">
        <f>IF(D32="","",登!$F$1)</f>
        <v/>
      </c>
      <c r="D32" s="516"/>
      <c r="E32" s="112">
        <v>9</v>
      </c>
      <c r="F32" s="113" t="str">
        <f>IF(D32="","",IF(AND(G32=2,INT(VALUE(RIGHT(D32,3))/100)=$A$24),VLOOKUP(D32,登!$B$4:$I$103,7,0),"部員番号入力ミス"))</f>
        <v/>
      </c>
      <c r="G32" s="298" t="str">
        <f>IF(D32="","",IF(INT(VALUE(RIGHT(D32,3))/100)=$A$24,IF(VLOOKUP(D32,登!$B$4:$I$103,2,0)=登!$B$1,1,IF(VLOOKUP(D32,登!$B$4:$I$103,2,0)=登!$B$1-1,2,IF(VLOOKUP(D32,登!$B$4:$I$103,2,0)=登!$B$1-2,3,"学年ミス"))),"番号ミス"))</f>
        <v/>
      </c>
      <c r="H32" s="298" t="str">
        <f t="shared" si="0"/>
        <v/>
      </c>
      <c r="I32" s="298" t="str">
        <f>IF(D32="","",IF(VLOOKUP(D32,登!$B$4:$I$103,3,0)=1,"男","女"))</f>
        <v/>
      </c>
    </row>
    <row r="33" spans="1:9" ht="15.75" customHeight="1">
      <c r="A33" s="473"/>
      <c r="B33" s="473"/>
      <c r="C33" s="294" t="str">
        <f>IF(D33="","",登!$F$1)</f>
        <v/>
      </c>
      <c r="D33" s="505"/>
      <c r="E33" s="105">
        <v>10</v>
      </c>
      <c r="F33" s="106" t="str">
        <f>IF(D33="","",IF(AND(G33=2,INT(VALUE(RIGHT(D33,3))/100)=$A$24),VLOOKUP(D33,登!$B$4:$I$103,7,0),"部員番号入力ミス"))</f>
        <v/>
      </c>
      <c r="G33" s="108" t="str">
        <f>IF(D33="","",IF(INT(VALUE(RIGHT(D33,3))/100)=$A$24,IF(VLOOKUP(D33,登!$B$4:$I$103,2,0)=登!$B$1,1,IF(VLOOKUP(D33,登!$B$4:$I$103,2,0)=登!$B$1-1,2,IF(VLOOKUP(D33,登!$B$4:$I$103,2,0)=登!$B$1-2,3,"学年ミス"))),"番号ミス"))</f>
        <v/>
      </c>
      <c r="H33" s="108" t="str">
        <f t="shared" si="0"/>
        <v/>
      </c>
      <c r="I33" s="108" t="str">
        <f>IF(D33="","",IF(VLOOKUP(D33,登!$B$4:$I$103,3,0)=1,"男","女"))</f>
        <v/>
      </c>
    </row>
    <row r="34" spans="1:9" ht="15.75" customHeight="1">
      <c r="A34" s="473"/>
      <c r="B34" s="473"/>
      <c r="C34" s="294" t="str">
        <f>IF(D34="","",登!$F$1)</f>
        <v/>
      </c>
      <c r="D34" s="505"/>
      <c r="E34" s="105">
        <v>11</v>
      </c>
      <c r="F34" s="106" t="str">
        <f>IF(D34="","",IF(AND(G34=2,INT(VALUE(RIGHT(D34,3))/100)=$A$24),VLOOKUP(D34,登!$B$4:$I$103,7,0),"部員番号入力ミス"))</f>
        <v/>
      </c>
      <c r="G34" s="108" t="str">
        <f>IF(D34="","",IF(INT(VALUE(RIGHT(D34,3))/100)=$A$24,IF(VLOOKUP(D34,登!$B$4:$I$103,2,0)=登!$B$1,1,IF(VLOOKUP(D34,登!$B$4:$I$103,2,0)=登!$B$1-1,2,IF(VLOOKUP(D34,登!$B$4:$I$103,2,0)=登!$B$1-2,3,"学年ミス"))),"番号ミス"))</f>
        <v/>
      </c>
      <c r="H34" s="108" t="str">
        <f t="shared" si="0"/>
        <v/>
      </c>
      <c r="I34" s="108" t="str">
        <f>IF(D34="","",IF(VLOOKUP(D34,登!$B$4:$I$103,3,0)=1,"男","女"))</f>
        <v/>
      </c>
    </row>
    <row r="35" spans="1:9" ht="15.75" customHeight="1">
      <c r="A35" s="474"/>
      <c r="B35" s="474"/>
      <c r="C35" s="295" t="str">
        <f>IF(D35="","",登!$F$1)</f>
        <v/>
      </c>
      <c r="D35" s="506"/>
      <c r="E35" s="132">
        <v>12</v>
      </c>
      <c r="F35" s="133" t="str">
        <f>IF(D35="","",IF(AND(G35=2,INT(VALUE(RIGHT(D35,3))/100)=$A$24),VLOOKUP(D35,登!$B$4:$I$103,7,0),"部員番号入力ミス"))</f>
        <v/>
      </c>
      <c r="G35" s="296" t="str">
        <f>IF(D35="","",IF(INT(VALUE(RIGHT(D35,3))/100)=$A$24,IF(VLOOKUP(D35,登!$B$4:$I$103,2,0)=登!$B$1,1,IF(VLOOKUP(D35,登!$B$4:$I$103,2,0)=登!$B$1-1,2,IF(VLOOKUP(D35,登!$B$4:$I$103,2,0)=登!$B$1-2,3,"学年ミス"))),"番号ミス"))</f>
        <v/>
      </c>
      <c r="H35" s="296" t="str">
        <f t="shared" si="0"/>
        <v/>
      </c>
      <c r="I35" s="296" t="str">
        <f>IF(D35="","",IF(VLOOKUP(D35,登!$B$4:$I$103,3,0)=1,"男","女"))</f>
        <v/>
      </c>
    </row>
  </sheetData>
  <sheetProtection password="CC71" sheet="1" objects="1" scenarios="1"/>
  <mergeCells count="18">
    <mergeCell ref="F8:G8"/>
    <mergeCell ref="B10:G10"/>
    <mergeCell ref="A13:A23"/>
    <mergeCell ref="B24:B29"/>
    <mergeCell ref="B30:B35"/>
    <mergeCell ref="B8:C8"/>
    <mergeCell ref="D8:E8"/>
    <mergeCell ref="A25:A35"/>
    <mergeCell ref="B5:C5"/>
    <mergeCell ref="B6:C6"/>
    <mergeCell ref="B7:C7"/>
    <mergeCell ref="B12:B17"/>
    <mergeCell ref="B18:B23"/>
    <mergeCell ref="C1:G1"/>
    <mergeCell ref="K1:K2"/>
    <mergeCell ref="L1:L2"/>
    <mergeCell ref="B3:C3"/>
    <mergeCell ref="D3:G3"/>
  </mergeCells>
  <phoneticPr fontId="2"/>
  <hyperlinks>
    <hyperlink ref="F8:G8" r:id="rId1" display="gunkyumi@yahoo.co.jp"/>
  </hyperlinks>
  <printOptions horizontalCentered="1"/>
  <pageMargins left="0.39370078740157483" right="0.39370078740157483" top="0.39370078740157483" bottom="0.39370078740157483" header="0" footer="0"/>
  <pageSetup paperSize="9" orientation="portrait" horizontalDpi="300" r:id="rId2"/>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85"/>
  <sheetViews>
    <sheetView zoomScaleNormal="100" workbookViewId="0"/>
  </sheetViews>
  <sheetFormatPr defaultColWidth="9.25" defaultRowHeight="18.75" customHeight="1"/>
  <cols>
    <col min="1" max="1" width="1.25" style="267" customWidth="1"/>
    <col min="2" max="2" width="4.625" style="267" customWidth="1"/>
    <col min="3" max="3" width="3.625" style="267" customWidth="1"/>
    <col min="4" max="4" width="15.375" style="267" customWidth="1"/>
    <col min="5" max="5" width="4.625" style="267" customWidth="1"/>
    <col min="6" max="6" width="9.375" style="267" customWidth="1"/>
    <col min="7" max="7" width="5.5" style="267" customWidth="1"/>
    <col min="8" max="8" width="13.25" style="267" customWidth="1"/>
    <col min="9" max="9" width="15.375" style="267" customWidth="1"/>
    <col min="10" max="10" width="5.75" style="267" customWidth="1"/>
    <col min="11" max="11" width="7" style="267" customWidth="1"/>
    <col min="12" max="12" width="1.25" style="267" customWidth="1"/>
    <col min="13" max="13" width="4.875" style="267" customWidth="1"/>
    <col min="14" max="14" width="3.5" style="267" bestFit="1" customWidth="1"/>
    <col min="15" max="15" width="7.125" style="269" bestFit="1" customWidth="1"/>
    <col min="16" max="16" width="14.125" style="267" customWidth="1"/>
    <col min="17" max="17" width="9.25" style="269"/>
    <col min="18" max="18" width="17.5" style="270" customWidth="1"/>
    <col min="19" max="16384" width="9.25" style="267"/>
  </cols>
  <sheetData>
    <row r="1" spans="1:18" ht="18.75" customHeight="1">
      <c r="C1" s="268"/>
      <c r="D1" s="268"/>
      <c r="E1" s="268"/>
      <c r="F1" s="268"/>
      <c r="G1" s="268"/>
      <c r="H1" s="268"/>
      <c r="I1" s="517" t="s">
        <v>364</v>
      </c>
      <c r="J1" s="517"/>
      <c r="K1" s="517"/>
      <c r="L1" s="268"/>
      <c r="O1" s="541">
        <v>1</v>
      </c>
    </row>
    <row r="2" spans="1:18" ht="18.75" customHeight="1">
      <c r="B2" s="271"/>
      <c r="C2" s="271"/>
      <c r="D2" s="271"/>
      <c r="E2" s="271"/>
      <c r="F2" s="271"/>
      <c r="G2" s="271"/>
      <c r="H2" s="271"/>
      <c r="I2" s="271"/>
      <c r="J2" s="271"/>
      <c r="K2" s="271"/>
      <c r="O2" s="541"/>
    </row>
    <row r="3" spans="1:18" ht="18.75" customHeight="1">
      <c r="B3" s="483" t="s">
        <v>345</v>
      </c>
      <c r="C3" s="483"/>
      <c r="D3" s="483"/>
      <c r="E3" s="483"/>
      <c r="F3" s="483"/>
      <c r="G3" s="483"/>
      <c r="H3" s="483"/>
      <c r="I3" s="483"/>
      <c r="J3" s="483"/>
      <c r="K3" s="483"/>
      <c r="L3" s="272"/>
    </row>
    <row r="4" spans="1:18" ht="18.75" customHeight="1">
      <c r="B4" s="272"/>
      <c r="C4" s="272"/>
    </row>
    <row r="5" spans="1:18" ht="18.75" customHeight="1">
      <c r="C5" s="272"/>
      <c r="D5" s="272"/>
      <c r="E5" s="272"/>
      <c r="F5" s="484" t="str">
        <f>IF(P5="","",P5)</f>
        <v>群馬県立○○○○</v>
      </c>
      <c r="G5" s="484"/>
      <c r="H5" s="484"/>
      <c r="I5" s="272" t="s">
        <v>400</v>
      </c>
      <c r="J5" s="272"/>
      <c r="K5" s="272"/>
      <c r="O5" s="269" t="s">
        <v>197</v>
      </c>
      <c r="P5" s="526" t="s">
        <v>537</v>
      </c>
      <c r="Q5" s="269" t="s">
        <v>198</v>
      </c>
    </row>
    <row r="6" spans="1:18" ht="18.75" customHeight="1">
      <c r="B6" s="272"/>
      <c r="C6" s="272"/>
      <c r="D6" s="272"/>
      <c r="E6" s="272"/>
      <c r="F6" s="484" t="s">
        <v>128</v>
      </c>
      <c r="G6" s="484"/>
      <c r="H6" s="484"/>
      <c r="I6" s="485" t="str">
        <f>IF(P6="","",P6)</f>
        <v>○　○　○　○</v>
      </c>
      <c r="J6" s="485"/>
      <c r="K6" s="273" t="s">
        <v>196</v>
      </c>
      <c r="O6" s="269" t="s">
        <v>199</v>
      </c>
      <c r="P6" s="526" t="s">
        <v>536</v>
      </c>
      <c r="R6" s="525" t="s">
        <v>534</v>
      </c>
    </row>
    <row r="7" spans="1:18" ht="18.75" customHeight="1">
      <c r="B7" s="272"/>
      <c r="C7" s="272"/>
      <c r="N7" s="274" t="s">
        <v>204</v>
      </c>
      <c r="O7" s="275" t="s">
        <v>200</v>
      </c>
      <c r="P7" s="275" t="s">
        <v>201</v>
      </c>
      <c r="Q7" s="275" t="s">
        <v>202</v>
      </c>
      <c r="R7" s="276" t="s">
        <v>203</v>
      </c>
    </row>
    <row r="8" spans="1:18" ht="18.75" customHeight="1">
      <c r="A8" s="484" t="str">
        <f>日!B1&amp;"群馬県高体連弓道専門部第"</f>
        <v>令和元年度群馬県高体連弓道専門部第</v>
      </c>
      <c r="B8" s="484"/>
      <c r="C8" s="484"/>
      <c r="D8" s="484"/>
      <c r="E8" s="484"/>
      <c r="F8" s="484"/>
      <c r="G8" s="277">
        <f>IF(VLOOKUP(O1,$N$8:$R$42,2,0)="","",VLOOKUP(O1,$N$8:$R$42,2,0))</f>
        <v>1</v>
      </c>
      <c r="H8" s="483" t="str">
        <f>"回　リーダー養成研修会"&amp;R6</f>
        <v>回　リーダー養成研修会（団体対策）</v>
      </c>
      <c r="I8" s="483"/>
      <c r="J8" s="483"/>
      <c r="K8" s="483"/>
      <c r="L8" s="272"/>
      <c r="N8" s="278">
        <v>1</v>
      </c>
      <c r="O8" s="527">
        <v>1</v>
      </c>
      <c r="P8" s="522" t="s">
        <v>538</v>
      </c>
      <c r="Q8" s="530" t="s">
        <v>365</v>
      </c>
      <c r="R8" s="519">
        <v>43467</v>
      </c>
    </row>
    <row r="9" spans="1:18" ht="18.75" customHeight="1">
      <c r="A9" s="483" t="s">
        <v>346</v>
      </c>
      <c r="B9" s="483"/>
      <c r="C9" s="483"/>
      <c r="D9" s="483"/>
      <c r="E9" s="483"/>
      <c r="F9" s="483"/>
      <c r="G9" s="483"/>
      <c r="H9" s="483"/>
      <c r="I9" s="483"/>
      <c r="J9" s="483"/>
      <c r="K9" s="483"/>
      <c r="L9" s="483"/>
      <c r="N9" s="279">
        <v>2</v>
      </c>
      <c r="O9" s="528">
        <v>2</v>
      </c>
      <c r="P9" s="522" t="s">
        <v>538</v>
      </c>
      <c r="Q9" s="531" t="s">
        <v>366</v>
      </c>
      <c r="R9" s="520"/>
    </row>
    <row r="10" spans="1:18" ht="18.75" customHeight="1">
      <c r="B10" s="277"/>
      <c r="C10" s="277"/>
      <c r="D10" s="277"/>
      <c r="E10" s="277"/>
      <c r="F10" s="277"/>
      <c r="G10" s="277"/>
      <c r="H10" s="277"/>
      <c r="I10" s="277"/>
      <c r="J10" s="277"/>
      <c r="K10" s="277"/>
      <c r="N10" s="279">
        <v>3</v>
      </c>
      <c r="O10" s="528">
        <v>3</v>
      </c>
      <c r="P10" s="522" t="s">
        <v>538</v>
      </c>
      <c r="Q10" s="531" t="s">
        <v>367</v>
      </c>
      <c r="R10" s="520"/>
    </row>
    <row r="11" spans="1:18" ht="18.75" customHeight="1">
      <c r="A11" s="483" t="s">
        <v>121</v>
      </c>
      <c r="B11" s="483"/>
      <c r="C11" s="483"/>
      <c r="D11" s="483"/>
      <c r="E11" s="483"/>
      <c r="F11" s="483"/>
      <c r="G11" s="483"/>
      <c r="H11" s="483"/>
      <c r="I11" s="483"/>
      <c r="J11" s="483"/>
      <c r="K11" s="483"/>
      <c r="L11" s="483"/>
      <c r="N11" s="279">
        <v>4</v>
      </c>
      <c r="O11" s="528">
        <v>4</v>
      </c>
      <c r="P11" s="522" t="s">
        <v>538</v>
      </c>
      <c r="Q11" s="531" t="s">
        <v>368</v>
      </c>
      <c r="R11" s="520"/>
    </row>
    <row r="12" spans="1:18" ht="18.75" customHeight="1">
      <c r="B12" s="272"/>
      <c r="C12" s="272"/>
      <c r="N12" s="279">
        <v>5</v>
      </c>
      <c r="O12" s="528">
        <v>5</v>
      </c>
      <c r="P12" s="522" t="s">
        <v>538</v>
      </c>
      <c r="Q12" s="531" t="s">
        <v>369</v>
      </c>
      <c r="R12" s="520"/>
    </row>
    <row r="13" spans="1:18" ht="18.75" customHeight="1">
      <c r="A13" s="485" t="s">
        <v>122</v>
      </c>
      <c r="B13" s="485"/>
      <c r="C13" s="485"/>
      <c r="D13" s="485"/>
      <c r="E13" s="485"/>
      <c r="F13" s="485"/>
      <c r="G13" s="485"/>
      <c r="H13" s="485"/>
      <c r="I13" s="485"/>
      <c r="J13" s="485"/>
      <c r="K13" s="485"/>
      <c r="L13" s="485"/>
      <c r="N13" s="279">
        <v>6</v>
      </c>
      <c r="O13" s="528">
        <v>6</v>
      </c>
      <c r="P13" s="522" t="s">
        <v>538</v>
      </c>
      <c r="Q13" s="531" t="s">
        <v>370</v>
      </c>
      <c r="R13" s="520"/>
    </row>
    <row r="14" spans="1:18" ht="18.75" customHeight="1">
      <c r="N14" s="279">
        <v>7</v>
      </c>
      <c r="O14" s="528">
        <v>7</v>
      </c>
      <c r="P14" s="523" t="s">
        <v>538</v>
      </c>
      <c r="Q14" s="531" t="s">
        <v>371</v>
      </c>
      <c r="R14" s="520"/>
    </row>
    <row r="15" spans="1:18" ht="18.75" customHeight="1">
      <c r="B15" s="486" t="s">
        <v>129</v>
      </c>
      <c r="C15" s="487"/>
      <c r="D15" s="487"/>
      <c r="E15" s="487"/>
      <c r="F15" s="488" t="str">
        <f>"教　諭・"&amp;IF(VLOOKUP($O$1,$N$7:$R$42,3,0)="","",VLOOKUP($O$1,$N$7:$R$42,3,0))</f>
        <v>教　諭・●　●　●　●</v>
      </c>
      <c r="G15" s="488"/>
      <c r="H15" s="488"/>
      <c r="I15" s="488"/>
      <c r="J15" s="488"/>
      <c r="K15" s="489"/>
      <c r="N15" s="279">
        <v>8</v>
      </c>
      <c r="O15" s="528">
        <v>8</v>
      </c>
      <c r="P15" s="523" t="s">
        <v>538</v>
      </c>
      <c r="Q15" s="531" t="s">
        <v>372</v>
      </c>
      <c r="R15" s="520"/>
    </row>
    <row r="16" spans="1:18" ht="18.75" customHeight="1">
      <c r="B16" s="280" t="s">
        <v>123</v>
      </c>
      <c r="C16" s="280" t="s">
        <v>33</v>
      </c>
      <c r="D16" s="280" t="s">
        <v>124</v>
      </c>
      <c r="E16" s="280" t="s">
        <v>125</v>
      </c>
      <c r="F16" s="486" t="s">
        <v>119</v>
      </c>
      <c r="G16" s="487"/>
      <c r="H16" s="493"/>
      <c r="I16" s="280" t="s">
        <v>120</v>
      </c>
      <c r="J16" s="280" t="s">
        <v>5</v>
      </c>
      <c r="K16" s="280" t="s">
        <v>126</v>
      </c>
      <c r="N16" s="279">
        <v>9</v>
      </c>
      <c r="O16" s="528">
        <v>9</v>
      </c>
      <c r="P16" s="523" t="s">
        <v>538</v>
      </c>
      <c r="Q16" s="531" t="s">
        <v>373</v>
      </c>
      <c r="R16" s="520"/>
    </row>
    <row r="17" spans="2:18" ht="18.75" customHeight="1">
      <c r="B17" s="280">
        <v>1</v>
      </c>
      <c r="C17" s="518"/>
      <c r="D17" s="280" t="str">
        <f>IF(C17="","",VLOOKUP(C17,登!$B$4:$P$103,7,0))</f>
        <v/>
      </c>
      <c r="E17" s="280" t="str">
        <f>IF(C17="","",ROUNDUP(VLOOKUP(C17,登!$B$4:$P$103,9,0)/2,0))</f>
        <v/>
      </c>
      <c r="F17" s="490" t="str">
        <f>IF(C17="","",VLOOKUP(C17,登!$B$4:$P$103,14,0))</f>
        <v/>
      </c>
      <c r="G17" s="491"/>
      <c r="H17" s="492"/>
      <c r="I17" s="280" t="str">
        <f>IF(C17="","",VLOOKUP(C17,登!$B$4:$P$103,15,0))</f>
        <v/>
      </c>
      <c r="J17" s="280" t="str">
        <f>IF(C17="","",IF(VLOOKUP(C17,登!$B$4:$P$103,3,0)=1,"男","女"))</f>
        <v/>
      </c>
      <c r="K17" s="518"/>
      <c r="N17" s="279">
        <v>10</v>
      </c>
      <c r="O17" s="528">
        <v>10</v>
      </c>
      <c r="P17" s="523" t="s">
        <v>538</v>
      </c>
      <c r="Q17" s="531" t="s">
        <v>374</v>
      </c>
      <c r="R17" s="520"/>
    </row>
    <row r="18" spans="2:18" ht="18.75" customHeight="1">
      <c r="B18" s="280">
        <v>2</v>
      </c>
      <c r="C18" s="518"/>
      <c r="D18" s="280" t="str">
        <f>IF(C18="","",VLOOKUP(C18,登!$B$4:$P$103,7,0))</f>
        <v/>
      </c>
      <c r="E18" s="280" t="str">
        <f>IF(C18="","",ROUNDUP(VLOOKUP(C18,登!$B$4:$P$103,9,0)/2,0))</f>
        <v/>
      </c>
      <c r="F18" s="490" t="str">
        <f>IF(C18="","",VLOOKUP(C18,登!$B$4:$P$103,14,0))</f>
        <v/>
      </c>
      <c r="G18" s="491"/>
      <c r="H18" s="492"/>
      <c r="I18" s="280" t="str">
        <f>IF(C18="","",VLOOKUP(C18,登!$B$4:$P$103,15,0))</f>
        <v/>
      </c>
      <c r="J18" s="280" t="str">
        <f>IF(C18="","",IF(VLOOKUP(C18,登!$B$4:$P$103,3,0)=1,"男","女"))</f>
        <v/>
      </c>
      <c r="K18" s="518"/>
      <c r="N18" s="279">
        <v>11</v>
      </c>
      <c r="O18" s="528">
        <v>11</v>
      </c>
      <c r="P18" s="523" t="s">
        <v>538</v>
      </c>
      <c r="Q18" s="531" t="s">
        <v>375</v>
      </c>
      <c r="R18" s="520"/>
    </row>
    <row r="19" spans="2:18" ht="18.75" customHeight="1">
      <c r="B19" s="280">
        <v>3</v>
      </c>
      <c r="C19" s="518"/>
      <c r="D19" s="280" t="str">
        <f>IF(C19="","",VLOOKUP(C19,登!$B$4:$P$103,7,0))</f>
        <v/>
      </c>
      <c r="E19" s="280" t="str">
        <f>IF(C19="","",ROUNDUP(VLOOKUP(C19,登!$B$4:$P$103,9,0)/2,0))</f>
        <v/>
      </c>
      <c r="F19" s="490" t="str">
        <f>IF(C19="","",VLOOKUP(C19,登!$B$4:$P$103,14,0))</f>
        <v/>
      </c>
      <c r="G19" s="491"/>
      <c r="H19" s="492"/>
      <c r="I19" s="280" t="str">
        <f>IF(C19="","",VLOOKUP(C19,登!$B$4:$P$103,15,0))</f>
        <v/>
      </c>
      <c r="J19" s="280" t="str">
        <f>IF(C19="","",IF(VLOOKUP(C19,登!$B$4:$P$103,3,0)=1,"男","女"))</f>
        <v/>
      </c>
      <c r="K19" s="518"/>
      <c r="N19" s="279">
        <v>12</v>
      </c>
      <c r="O19" s="528">
        <v>12</v>
      </c>
      <c r="P19" s="523" t="s">
        <v>538</v>
      </c>
      <c r="Q19" s="531" t="s">
        <v>376</v>
      </c>
      <c r="R19" s="520"/>
    </row>
    <row r="20" spans="2:18" ht="18.75" customHeight="1">
      <c r="B20" s="280">
        <v>4</v>
      </c>
      <c r="C20" s="518"/>
      <c r="D20" s="280" t="str">
        <f>IF(C20="","",VLOOKUP(C20,登!$B$4:$P$103,7,0))</f>
        <v/>
      </c>
      <c r="E20" s="280" t="str">
        <f>IF(C20="","",ROUNDUP(VLOOKUP(C20,登!$B$4:$P$103,9,0)/2,0))</f>
        <v/>
      </c>
      <c r="F20" s="490" t="str">
        <f>IF(C20="","",VLOOKUP(C20,登!$B$4:$P$103,14,0))</f>
        <v/>
      </c>
      <c r="G20" s="491"/>
      <c r="H20" s="492"/>
      <c r="I20" s="280" t="str">
        <f>IF(C20="","",VLOOKUP(C20,登!$B$4:$P$103,15,0))</f>
        <v/>
      </c>
      <c r="J20" s="280" t="str">
        <f>IF(C20="","",IF(VLOOKUP(C20,登!$B$4:$P$103,3,0)=1,"男","女"))</f>
        <v/>
      </c>
      <c r="K20" s="518"/>
      <c r="N20" s="279">
        <v>13</v>
      </c>
      <c r="O20" s="528">
        <v>13</v>
      </c>
      <c r="P20" s="523" t="s">
        <v>538</v>
      </c>
      <c r="Q20" s="531" t="s">
        <v>377</v>
      </c>
      <c r="R20" s="520"/>
    </row>
    <row r="21" spans="2:18" ht="18.75" customHeight="1">
      <c r="B21" s="280">
        <v>5</v>
      </c>
      <c r="C21" s="518"/>
      <c r="D21" s="280" t="str">
        <f>IF(C21="","",VLOOKUP(C21,登!$B$4:$P$103,7,0))</f>
        <v/>
      </c>
      <c r="E21" s="280" t="str">
        <f>IF(C21="","",ROUNDUP(VLOOKUP(C21,登!$B$4:$P$103,9,0)/2,0))</f>
        <v/>
      </c>
      <c r="F21" s="490" t="str">
        <f>IF(C21="","",VLOOKUP(C21,登!$B$4:$P$103,14,0))</f>
        <v/>
      </c>
      <c r="G21" s="491"/>
      <c r="H21" s="492"/>
      <c r="I21" s="280" t="str">
        <f>IF(C21="","",VLOOKUP(C21,登!$B$4:$P$103,15,0))</f>
        <v/>
      </c>
      <c r="J21" s="280" t="str">
        <f>IF(C21="","",IF(VLOOKUP(C21,登!$B$4:$P$103,3,0)=1,"男","女"))</f>
        <v/>
      </c>
      <c r="K21" s="518"/>
      <c r="N21" s="279">
        <v>14</v>
      </c>
      <c r="O21" s="528">
        <v>14</v>
      </c>
      <c r="P21" s="523" t="s">
        <v>538</v>
      </c>
      <c r="Q21" s="531" t="s">
        <v>378</v>
      </c>
      <c r="R21" s="520"/>
    </row>
    <row r="22" spans="2:18" ht="18.75" customHeight="1">
      <c r="B22" s="280">
        <v>6</v>
      </c>
      <c r="C22" s="518"/>
      <c r="D22" s="280" t="str">
        <f>IF(C22="","",VLOOKUP(C22,登!$B$4:$P$103,7,0))</f>
        <v/>
      </c>
      <c r="E22" s="280" t="str">
        <f>IF(C22="","",ROUNDUP(VLOOKUP(C22,登!$B$4:$P$103,9,0)/2,0))</f>
        <v/>
      </c>
      <c r="F22" s="490" t="str">
        <f>IF(C22="","",VLOOKUP(C22,登!$B$4:$P$103,14,0))</f>
        <v/>
      </c>
      <c r="G22" s="491"/>
      <c r="H22" s="492"/>
      <c r="I22" s="280" t="str">
        <f>IF(C22="","",VLOOKUP(C22,登!$B$4:$P$103,15,0))</f>
        <v/>
      </c>
      <c r="J22" s="280" t="str">
        <f>IF(C22="","",IF(VLOOKUP(C22,登!$B$4:$P$103,3,0)=1,"男","女"))</f>
        <v/>
      </c>
      <c r="K22" s="518"/>
      <c r="N22" s="279">
        <v>15</v>
      </c>
      <c r="O22" s="528">
        <v>15</v>
      </c>
      <c r="P22" s="523" t="s">
        <v>538</v>
      </c>
      <c r="Q22" s="531" t="s">
        <v>379</v>
      </c>
      <c r="R22" s="520"/>
    </row>
    <row r="23" spans="2:18" ht="18.75" customHeight="1">
      <c r="B23" s="280">
        <v>7</v>
      </c>
      <c r="C23" s="518"/>
      <c r="D23" s="280" t="str">
        <f>IF(C23="","",VLOOKUP(C23,登!$B$4:$P$103,7,0))</f>
        <v/>
      </c>
      <c r="E23" s="280" t="str">
        <f>IF(C23="","",ROUNDUP(VLOOKUP(C23,登!$B$4:$P$103,9,0)/2,0))</f>
        <v/>
      </c>
      <c r="F23" s="490" t="str">
        <f>IF(C23="","",VLOOKUP(C23,登!$B$4:$P$103,14,0))</f>
        <v/>
      </c>
      <c r="G23" s="491"/>
      <c r="H23" s="492"/>
      <c r="I23" s="280" t="str">
        <f>IF(C23="","",VLOOKUP(C23,登!$B$4:$P$103,15,0))</f>
        <v/>
      </c>
      <c r="J23" s="280" t="str">
        <f>IF(C23="","",IF(VLOOKUP(C23,登!$B$4:$P$103,3,0)=1,"男","女"))</f>
        <v/>
      </c>
      <c r="K23" s="518"/>
      <c r="N23" s="279">
        <v>16</v>
      </c>
      <c r="O23" s="528">
        <v>16</v>
      </c>
      <c r="P23" s="523" t="s">
        <v>538</v>
      </c>
      <c r="Q23" s="531" t="s">
        <v>380</v>
      </c>
      <c r="R23" s="520"/>
    </row>
    <row r="24" spans="2:18" ht="18.75" customHeight="1">
      <c r="B24" s="280">
        <v>8</v>
      </c>
      <c r="C24" s="518"/>
      <c r="D24" s="280" t="str">
        <f>IF(C24="","",VLOOKUP(C24,登!$B$4:$P$103,7,0))</f>
        <v/>
      </c>
      <c r="E24" s="280" t="str">
        <f>IF(C24="","",ROUNDUP(VLOOKUP(C24,登!$B$4:$P$103,9,0)/2,0))</f>
        <v/>
      </c>
      <c r="F24" s="490" t="str">
        <f>IF(C24="","",VLOOKUP(C24,登!$B$4:$P$103,14,0))</f>
        <v/>
      </c>
      <c r="G24" s="491"/>
      <c r="H24" s="492"/>
      <c r="I24" s="280" t="str">
        <f>IF(C24="","",VLOOKUP(C24,登!$B$4:$P$103,15,0))</f>
        <v/>
      </c>
      <c r="J24" s="280" t="str">
        <f>IF(C24="","",IF(VLOOKUP(C24,登!$B$4:$P$103,3,0)=1,"男","女"))</f>
        <v/>
      </c>
      <c r="K24" s="518"/>
      <c r="N24" s="279">
        <v>17</v>
      </c>
      <c r="O24" s="528">
        <v>17</v>
      </c>
      <c r="P24" s="523" t="s">
        <v>538</v>
      </c>
      <c r="Q24" s="531" t="s">
        <v>381</v>
      </c>
      <c r="R24" s="520"/>
    </row>
    <row r="25" spans="2:18" ht="18.75" customHeight="1">
      <c r="B25" s="280">
        <v>9</v>
      </c>
      <c r="C25" s="518"/>
      <c r="D25" s="280" t="str">
        <f>IF(C25="","",VLOOKUP(C25,登!$B$4:$P$103,7,0))</f>
        <v/>
      </c>
      <c r="E25" s="280" t="str">
        <f>IF(C25="","",ROUNDUP(VLOOKUP(C25,登!$B$4:$P$103,9,0)/2,0))</f>
        <v/>
      </c>
      <c r="F25" s="490" t="str">
        <f>IF(C25="","",VLOOKUP(C25,登!$B$4:$P$103,14,0))</f>
        <v/>
      </c>
      <c r="G25" s="491"/>
      <c r="H25" s="492"/>
      <c r="I25" s="280" t="str">
        <f>IF(C25="","",VLOOKUP(C25,登!$B$4:$P$103,15,0))</f>
        <v/>
      </c>
      <c r="J25" s="280" t="str">
        <f>IF(C25="","",IF(VLOOKUP(C25,登!$B$4:$P$103,3,0)=1,"男","女"))</f>
        <v/>
      </c>
      <c r="K25" s="518"/>
      <c r="N25" s="279">
        <v>18</v>
      </c>
      <c r="O25" s="528">
        <v>18</v>
      </c>
      <c r="P25" s="523" t="s">
        <v>538</v>
      </c>
      <c r="Q25" s="531" t="s">
        <v>382</v>
      </c>
      <c r="R25" s="520"/>
    </row>
    <row r="26" spans="2:18" ht="18.75" customHeight="1">
      <c r="B26" s="280">
        <v>10</v>
      </c>
      <c r="C26" s="518"/>
      <c r="D26" s="280" t="str">
        <f>IF(C26="","",VLOOKUP(C26,登!$B$4:$P$103,7,0))</f>
        <v/>
      </c>
      <c r="E26" s="280" t="str">
        <f>IF(C26="","",ROUNDUP(VLOOKUP(C26,登!$B$4:$P$103,9,0)/2,0))</f>
        <v/>
      </c>
      <c r="F26" s="490" t="str">
        <f>IF(C26="","",VLOOKUP(C26,登!$B$4:$P$103,14,0))</f>
        <v/>
      </c>
      <c r="G26" s="491"/>
      <c r="H26" s="492"/>
      <c r="I26" s="280" t="str">
        <f>IF(C26="","",VLOOKUP(C26,登!$B$4:$P$103,15,0))</f>
        <v/>
      </c>
      <c r="J26" s="280" t="str">
        <f>IF(C26="","",IF(VLOOKUP(C26,登!$B$4:$P$103,3,0)=1,"男","女"))</f>
        <v/>
      </c>
      <c r="K26" s="518"/>
      <c r="N26" s="279">
        <v>19</v>
      </c>
      <c r="O26" s="528">
        <v>19</v>
      </c>
      <c r="P26" s="523" t="s">
        <v>538</v>
      </c>
      <c r="Q26" s="531" t="s">
        <v>383</v>
      </c>
      <c r="R26" s="520"/>
    </row>
    <row r="27" spans="2:18" ht="18.75" customHeight="1">
      <c r="B27" s="280">
        <v>11</v>
      </c>
      <c r="C27" s="518"/>
      <c r="D27" s="280" t="str">
        <f>IF(C27="","",VLOOKUP(C27,登!$B$4:$P$103,7,0))</f>
        <v/>
      </c>
      <c r="E27" s="280" t="str">
        <f>IF(C27="","",ROUNDUP(VLOOKUP(C27,登!$B$4:$P$103,9,0)/2,0))</f>
        <v/>
      </c>
      <c r="F27" s="490" t="str">
        <f>IF(C27="","",VLOOKUP(C27,登!$B$4:$P$103,14,0))</f>
        <v/>
      </c>
      <c r="G27" s="491"/>
      <c r="H27" s="492"/>
      <c r="I27" s="280" t="str">
        <f>IF(C27="","",VLOOKUP(C27,登!$B$4:$P$103,15,0))</f>
        <v/>
      </c>
      <c r="J27" s="280" t="str">
        <f>IF(C27="","",IF(VLOOKUP(C27,登!$B$4:$P$103,3,0)=1,"男","女"))</f>
        <v/>
      </c>
      <c r="K27" s="518"/>
      <c r="N27" s="279">
        <v>20</v>
      </c>
      <c r="O27" s="528">
        <v>20</v>
      </c>
      <c r="P27" s="523" t="s">
        <v>538</v>
      </c>
      <c r="Q27" s="531" t="s">
        <v>384</v>
      </c>
      <c r="R27" s="520"/>
    </row>
    <row r="28" spans="2:18" ht="18.75" customHeight="1">
      <c r="B28" s="280">
        <v>12</v>
      </c>
      <c r="C28" s="518"/>
      <c r="D28" s="280" t="str">
        <f>IF(C28="","",VLOOKUP(C28,登!$B$4:$P$103,7,0))</f>
        <v/>
      </c>
      <c r="E28" s="280" t="str">
        <f>IF(C28="","",ROUNDUP(VLOOKUP(C28,登!$B$4:$P$103,9,0)/2,0))</f>
        <v/>
      </c>
      <c r="F28" s="490" t="str">
        <f>IF(C28="","",VLOOKUP(C28,登!$B$4:$P$103,14,0))</f>
        <v/>
      </c>
      <c r="G28" s="491"/>
      <c r="H28" s="492"/>
      <c r="I28" s="280" t="str">
        <f>IF(C28="","",VLOOKUP(C28,登!$B$4:$P$103,15,0))</f>
        <v/>
      </c>
      <c r="J28" s="280" t="str">
        <f>IF(C28="","",IF(VLOOKUP(C28,登!$B$4:$P$103,3,0)=1,"男","女"))</f>
        <v/>
      </c>
      <c r="K28" s="518"/>
      <c r="N28" s="279">
        <v>21</v>
      </c>
      <c r="O28" s="528">
        <v>21</v>
      </c>
      <c r="P28" s="523" t="s">
        <v>538</v>
      </c>
      <c r="Q28" s="531" t="s">
        <v>385</v>
      </c>
      <c r="R28" s="520"/>
    </row>
    <row r="29" spans="2:18" ht="18.75" customHeight="1">
      <c r="B29" s="280">
        <v>13</v>
      </c>
      <c r="C29" s="518"/>
      <c r="D29" s="280" t="str">
        <f>IF(C29="","",VLOOKUP(C29,登!$B$4:$P$103,7,0))</f>
        <v/>
      </c>
      <c r="E29" s="280" t="str">
        <f>IF(C29="","",ROUNDUP(VLOOKUP(C29,登!$B$4:$P$103,9,0)/2,0))</f>
        <v/>
      </c>
      <c r="F29" s="490" t="str">
        <f>IF(C29="","",VLOOKUP(C29,登!$B$4:$P$103,14,0))</f>
        <v/>
      </c>
      <c r="G29" s="491"/>
      <c r="H29" s="492"/>
      <c r="I29" s="280" t="str">
        <f>IF(C29="","",VLOOKUP(C29,登!$B$4:$P$103,15,0))</f>
        <v/>
      </c>
      <c r="J29" s="280" t="str">
        <f>IF(C29="","",IF(VLOOKUP(C29,登!$B$4:$P$103,3,0)=1,"男","女"))</f>
        <v/>
      </c>
      <c r="K29" s="518"/>
      <c r="N29" s="279">
        <v>22</v>
      </c>
      <c r="O29" s="528">
        <v>22</v>
      </c>
      <c r="P29" s="523" t="s">
        <v>538</v>
      </c>
      <c r="Q29" s="531" t="s">
        <v>386</v>
      </c>
      <c r="R29" s="520"/>
    </row>
    <row r="30" spans="2:18" ht="18.75" customHeight="1">
      <c r="B30" s="280">
        <v>14</v>
      </c>
      <c r="C30" s="518"/>
      <c r="D30" s="280" t="str">
        <f>IF(C30="","",VLOOKUP(C30,登!$B$4:$P$103,7,0))</f>
        <v/>
      </c>
      <c r="E30" s="280" t="str">
        <f>IF(C30="","",ROUNDUP(VLOOKUP(C30,登!$B$4:$P$103,9,0)/2,0))</f>
        <v/>
      </c>
      <c r="F30" s="490" t="str">
        <f>IF(C30="","",VLOOKUP(C30,登!$B$4:$P$103,14,0))</f>
        <v/>
      </c>
      <c r="G30" s="491"/>
      <c r="H30" s="492"/>
      <c r="I30" s="280" t="str">
        <f>IF(C30="","",VLOOKUP(C30,登!$B$4:$P$103,15,0))</f>
        <v/>
      </c>
      <c r="J30" s="280" t="str">
        <f>IF(C30="","",IF(VLOOKUP(C30,登!$B$4:$P$103,3,0)=1,"男","女"))</f>
        <v/>
      </c>
      <c r="K30" s="518"/>
      <c r="N30" s="279">
        <v>23</v>
      </c>
      <c r="O30" s="528">
        <v>23</v>
      </c>
      <c r="P30" s="523" t="s">
        <v>538</v>
      </c>
      <c r="Q30" s="531" t="s">
        <v>387</v>
      </c>
      <c r="R30" s="520"/>
    </row>
    <row r="31" spans="2:18" ht="18.75" customHeight="1">
      <c r="B31" s="280">
        <v>15</v>
      </c>
      <c r="C31" s="518"/>
      <c r="D31" s="280" t="str">
        <f>IF(C31="","",VLOOKUP(C31,登!$B$4:$P$103,7,0))</f>
        <v/>
      </c>
      <c r="E31" s="280" t="str">
        <f>IF(C31="","",ROUNDUP(VLOOKUP(C31,登!$B$4:$P$103,9,0)/2,0))</f>
        <v/>
      </c>
      <c r="F31" s="490" t="str">
        <f>IF(C31="","",VLOOKUP(C31,登!$B$4:$P$103,14,0))</f>
        <v/>
      </c>
      <c r="G31" s="491"/>
      <c r="H31" s="492"/>
      <c r="I31" s="280" t="str">
        <f>IF(C31="","",VLOOKUP(C31,登!$B$4:$P$103,15,0))</f>
        <v/>
      </c>
      <c r="J31" s="280" t="str">
        <f>IF(C31="","",IF(VLOOKUP(C31,登!$B$4:$P$103,3,0)=1,"男","女"))</f>
        <v/>
      </c>
      <c r="K31" s="518"/>
      <c r="N31" s="279">
        <v>24</v>
      </c>
      <c r="O31" s="528">
        <v>24</v>
      </c>
      <c r="P31" s="523" t="s">
        <v>538</v>
      </c>
      <c r="Q31" s="531" t="s">
        <v>388</v>
      </c>
      <c r="R31" s="520"/>
    </row>
    <row r="32" spans="2:18" ht="18.75" customHeight="1">
      <c r="B32" s="280">
        <v>16</v>
      </c>
      <c r="C32" s="518"/>
      <c r="D32" s="280" t="str">
        <f>IF(C32="","",VLOOKUP(C32,登!$B$4:$P$103,7,0))</f>
        <v/>
      </c>
      <c r="E32" s="280" t="str">
        <f>IF(C32="","",ROUNDUP(VLOOKUP(C32,登!$B$4:$P$103,9,0)/2,0))</f>
        <v/>
      </c>
      <c r="F32" s="490" t="str">
        <f>IF(C32="","",VLOOKUP(C32,登!$B$4:$P$103,14,0))</f>
        <v/>
      </c>
      <c r="G32" s="491"/>
      <c r="H32" s="492"/>
      <c r="I32" s="280" t="str">
        <f>IF(C32="","",VLOOKUP(C32,登!$B$4:$P$103,15,0))</f>
        <v/>
      </c>
      <c r="J32" s="280" t="str">
        <f>IF(C32="","",IF(VLOOKUP(C32,登!$B$4:$P$103,3,0)=1,"男","女"))</f>
        <v/>
      </c>
      <c r="K32" s="518"/>
      <c r="N32" s="279">
        <v>25</v>
      </c>
      <c r="O32" s="528">
        <v>25</v>
      </c>
      <c r="P32" s="523" t="s">
        <v>538</v>
      </c>
      <c r="Q32" s="531" t="s">
        <v>389</v>
      </c>
      <c r="R32" s="520"/>
    </row>
    <row r="33" spans="2:18" ht="18.75" customHeight="1">
      <c r="B33" s="280">
        <v>17</v>
      </c>
      <c r="C33" s="518"/>
      <c r="D33" s="280" t="str">
        <f>IF(C33="","",VLOOKUP(C33,登!$B$4:$P$103,7,0))</f>
        <v/>
      </c>
      <c r="E33" s="280" t="str">
        <f>IF(C33="","",ROUNDUP(VLOOKUP(C33,登!$B$4:$P$103,9,0)/2,0))</f>
        <v/>
      </c>
      <c r="F33" s="490" t="str">
        <f>IF(C33="","",VLOOKUP(C33,登!$B$4:$P$103,14,0))</f>
        <v/>
      </c>
      <c r="G33" s="491"/>
      <c r="H33" s="492"/>
      <c r="I33" s="280" t="str">
        <f>IF(C33="","",VLOOKUP(C33,登!$B$4:$P$103,15,0))</f>
        <v/>
      </c>
      <c r="J33" s="280" t="str">
        <f>IF(C33="","",IF(VLOOKUP(C33,登!$B$4:$P$103,3,0)=1,"男","女"))</f>
        <v/>
      </c>
      <c r="K33" s="518"/>
      <c r="N33" s="279">
        <v>26</v>
      </c>
      <c r="O33" s="528">
        <v>26</v>
      </c>
      <c r="P33" s="523" t="s">
        <v>538</v>
      </c>
      <c r="Q33" s="531" t="s">
        <v>390</v>
      </c>
      <c r="R33" s="520"/>
    </row>
    <row r="34" spans="2:18" ht="18.75" customHeight="1">
      <c r="B34" s="280">
        <v>18</v>
      </c>
      <c r="C34" s="518"/>
      <c r="D34" s="280" t="str">
        <f>IF(C34="","",VLOOKUP(C34,登!$B$4:$P$103,7,0))</f>
        <v/>
      </c>
      <c r="E34" s="280" t="str">
        <f>IF(C34="","",ROUNDUP(VLOOKUP(C34,登!$B$4:$P$103,9,0)/2,0))</f>
        <v/>
      </c>
      <c r="F34" s="490" t="str">
        <f>IF(C34="","",VLOOKUP(C34,登!$B$4:$P$103,14,0))</f>
        <v/>
      </c>
      <c r="G34" s="491"/>
      <c r="H34" s="492"/>
      <c r="I34" s="280" t="str">
        <f>IF(C34="","",VLOOKUP(C34,登!$B$4:$P$103,15,0))</f>
        <v/>
      </c>
      <c r="J34" s="280" t="str">
        <f>IF(C34="","",IF(VLOOKUP(C34,登!$B$4:$P$103,3,0)=1,"男","女"))</f>
        <v/>
      </c>
      <c r="K34" s="518"/>
      <c r="N34" s="279">
        <v>27</v>
      </c>
      <c r="O34" s="528">
        <v>27</v>
      </c>
      <c r="P34" s="523" t="s">
        <v>538</v>
      </c>
      <c r="Q34" s="531" t="s">
        <v>391</v>
      </c>
      <c r="R34" s="520"/>
    </row>
    <row r="35" spans="2:18" ht="18.75" customHeight="1">
      <c r="B35" s="280">
        <v>19</v>
      </c>
      <c r="C35" s="518"/>
      <c r="D35" s="280" t="str">
        <f>IF(C35="","",VLOOKUP(C35,登!$B$4:$P$103,7,0))</f>
        <v/>
      </c>
      <c r="E35" s="280" t="str">
        <f>IF(C35="","",ROUNDUP(VLOOKUP(C35,登!$B$4:$P$103,9,0)/2,0))</f>
        <v/>
      </c>
      <c r="F35" s="490" t="str">
        <f>IF(C35="","",VLOOKUP(C35,登!$B$4:$P$103,14,0))</f>
        <v/>
      </c>
      <c r="G35" s="491"/>
      <c r="H35" s="492"/>
      <c r="I35" s="280" t="str">
        <f>IF(C35="","",VLOOKUP(C35,登!$B$4:$P$103,15,0))</f>
        <v/>
      </c>
      <c r="J35" s="280" t="str">
        <f>IF(C35="","",IF(VLOOKUP(C35,登!$B$4:$P$103,3,0)=1,"男","女"))</f>
        <v/>
      </c>
      <c r="K35" s="518"/>
      <c r="N35" s="279">
        <v>28</v>
      </c>
      <c r="O35" s="528">
        <v>28</v>
      </c>
      <c r="P35" s="523" t="s">
        <v>538</v>
      </c>
      <c r="Q35" s="531" t="s">
        <v>392</v>
      </c>
      <c r="R35" s="520"/>
    </row>
    <row r="36" spans="2:18" ht="18.75" customHeight="1">
      <c r="B36" s="280">
        <v>20</v>
      </c>
      <c r="C36" s="518"/>
      <c r="D36" s="280" t="str">
        <f>IF(C36="","",VLOOKUP(C36,登!$B$4:$P$103,7,0))</f>
        <v/>
      </c>
      <c r="E36" s="280" t="str">
        <f>IF(C36="","",ROUNDUP(VLOOKUP(C36,登!$B$4:$P$103,9,0)/2,0))</f>
        <v/>
      </c>
      <c r="F36" s="490" t="str">
        <f>IF(C36="","",VLOOKUP(C36,登!$B$4:$P$103,14,0))</f>
        <v/>
      </c>
      <c r="G36" s="491"/>
      <c r="H36" s="492"/>
      <c r="I36" s="280" t="str">
        <f>IF(C36="","",VLOOKUP(C36,登!$B$4:$P$103,15,0))</f>
        <v/>
      </c>
      <c r="J36" s="280" t="str">
        <f>IF(C36="","",IF(VLOOKUP(C36,登!$B$4:$P$103,3,0)=1,"男","女"))</f>
        <v/>
      </c>
      <c r="K36" s="518"/>
      <c r="N36" s="279">
        <v>29</v>
      </c>
      <c r="O36" s="528">
        <v>29</v>
      </c>
      <c r="P36" s="523" t="s">
        <v>538</v>
      </c>
      <c r="Q36" s="531" t="s">
        <v>393</v>
      </c>
      <c r="R36" s="520"/>
    </row>
    <row r="37" spans="2:18" ht="18.75" customHeight="1">
      <c r="B37" s="280">
        <v>21</v>
      </c>
      <c r="C37" s="518"/>
      <c r="D37" s="280" t="str">
        <f>IF(C37="","",VLOOKUP(C37,登!$B$4:$P$103,7,0))</f>
        <v/>
      </c>
      <c r="E37" s="280" t="str">
        <f>IF(C37="","",ROUNDUP(VLOOKUP(C37,登!$B$4:$P$103,9,0)/2,0))</f>
        <v/>
      </c>
      <c r="F37" s="490" t="str">
        <f>IF(C37="","",VLOOKUP(C37,登!$B$4:$P$103,14,0))</f>
        <v/>
      </c>
      <c r="G37" s="491"/>
      <c r="H37" s="492"/>
      <c r="I37" s="280" t="str">
        <f>IF(C37="","",VLOOKUP(C37,登!$B$4:$P$103,15,0))</f>
        <v/>
      </c>
      <c r="J37" s="280" t="str">
        <f>IF(C37="","",IF(VLOOKUP(C37,登!$B$4:$P$103,3,0)=1,"男","女"))</f>
        <v/>
      </c>
      <c r="K37" s="518"/>
      <c r="N37" s="279">
        <v>30</v>
      </c>
      <c r="O37" s="528">
        <v>30</v>
      </c>
      <c r="P37" s="523" t="s">
        <v>538</v>
      </c>
      <c r="Q37" s="531" t="s">
        <v>394</v>
      </c>
      <c r="R37" s="520"/>
    </row>
    <row r="38" spans="2:18" ht="18.75" customHeight="1">
      <c r="B38" s="280">
        <v>22</v>
      </c>
      <c r="C38" s="518"/>
      <c r="D38" s="280" t="str">
        <f>IF(C38="","",VLOOKUP(C38,登!$B$4:$P$103,7,0))</f>
        <v/>
      </c>
      <c r="E38" s="280" t="str">
        <f>IF(C38="","",ROUNDUP(VLOOKUP(C38,登!$B$4:$P$103,9,0)/2,0))</f>
        <v/>
      </c>
      <c r="F38" s="490" t="str">
        <f>IF(C38="","",VLOOKUP(C38,登!$B$4:$P$103,14,0))</f>
        <v/>
      </c>
      <c r="G38" s="491"/>
      <c r="H38" s="492"/>
      <c r="I38" s="280" t="str">
        <f>IF(C38="","",VLOOKUP(C38,登!$B$4:$P$103,15,0))</f>
        <v/>
      </c>
      <c r="J38" s="280" t="str">
        <f>IF(C38="","",IF(VLOOKUP(C38,登!$B$4:$P$103,3,0)=1,"男","女"))</f>
        <v/>
      </c>
      <c r="K38" s="518"/>
      <c r="N38" s="279">
        <v>31</v>
      </c>
      <c r="O38" s="528">
        <v>31</v>
      </c>
      <c r="P38" s="523" t="s">
        <v>538</v>
      </c>
      <c r="Q38" s="531" t="s">
        <v>395</v>
      </c>
      <c r="R38" s="520"/>
    </row>
    <row r="39" spans="2:18" ht="18.75" customHeight="1">
      <c r="B39" s="280">
        <v>23</v>
      </c>
      <c r="C39" s="518"/>
      <c r="D39" s="280" t="str">
        <f>IF(C39="","",VLOOKUP(C39,登!$B$4:$P$103,7,0))</f>
        <v/>
      </c>
      <c r="E39" s="280" t="str">
        <f>IF(C39="","",ROUNDUP(VLOOKUP(C39,登!$B$4:$P$103,9,0)/2,0))</f>
        <v/>
      </c>
      <c r="F39" s="490" t="str">
        <f>IF(C39="","",VLOOKUP(C39,登!$B$4:$P$103,14,0))</f>
        <v/>
      </c>
      <c r="G39" s="491"/>
      <c r="H39" s="492"/>
      <c r="I39" s="280" t="str">
        <f>IF(C39="","",VLOOKUP(C39,登!$B$4:$P$103,15,0))</f>
        <v/>
      </c>
      <c r="J39" s="280" t="str">
        <f>IF(C39="","",IF(VLOOKUP(C39,登!$B$4:$P$103,3,0)=1,"男","女"))</f>
        <v/>
      </c>
      <c r="K39" s="518"/>
      <c r="N39" s="279">
        <v>32</v>
      </c>
      <c r="O39" s="528">
        <v>32</v>
      </c>
      <c r="P39" s="523" t="s">
        <v>538</v>
      </c>
      <c r="Q39" s="531" t="s">
        <v>396</v>
      </c>
      <c r="R39" s="520"/>
    </row>
    <row r="40" spans="2:18" ht="18.75" customHeight="1">
      <c r="B40" s="280">
        <v>24</v>
      </c>
      <c r="C40" s="518"/>
      <c r="D40" s="280" t="str">
        <f>IF(C40="","",VLOOKUP(C40,登!$B$4:$P$103,7,0))</f>
        <v/>
      </c>
      <c r="E40" s="280" t="str">
        <f>IF(C40="","",ROUNDUP(VLOOKUP(C40,登!$B$4:$P$103,9,0)/2,0))</f>
        <v/>
      </c>
      <c r="F40" s="490" t="str">
        <f>IF(C40="","",VLOOKUP(C40,登!$B$4:$P$103,14,0))</f>
        <v/>
      </c>
      <c r="G40" s="491"/>
      <c r="H40" s="492"/>
      <c r="I40" s="280" t="str">
        <f>IF(C40="","",VLOOKUP(C40,登!$B$4:$P$103,15,0))</f>
        <v/>
      </c>
      <c r="J40" s="280" t="str">
        <f>IF(C40="","",IF(VLOOKUP(C40,登!$B$4:$P$103,3,0)=1,"男","女"))</f>
        <v/>
      </c>
      <c r="K40" s="518"/>
      <c r="N40" s="279">
        <v>33</v>
      </c>
      <c r="O40" s="528">
        <v>33</v>
      </c>
      <c r="P40" s="523" t="s">
        <v>538</v>
      </c>
      <c r="Q40" s="531" t="s">
        <v>397</v>
      </c>
      <c r="R40" s="520"/>
    </row>
    <row r="41" spans="2:18" ht="18.75" customHeight="1">
      <c r="B41" s="280">
        <v>25</v>
      </c>
      <c r="C41" s="518"/>
      <c r="D41" s="280" t="str">
        <f>IF(C41="","",VLOOKUP(C41,登!$B$4:$P$103,7,0))</f>
        <v/>
      </c>
      <c r="E41" s="280" t="str">
        <f>IF(C41="","",ROUNDUP(VLOOKUP(C41,登!$B$4:$P$103,9,0)/2,0))</f>
        <v/>
      </c>
      <c r="F41" s="490" t="str">
        <f>IF(C41="","",VLOOKUP(C41,登!$B$4:$P$103,14,0))</f>
        <v/>
      </c>
      <c r="G41" s="491"/>
      <c r="H41" s="492"/>
      <c r="I41" s="280" t="str">
        <f>IF(C41="","",VLOOKUP(C41,登!$B$4:$P$103,15,0))</f>
        <v/>
      </c>
      <c r="J41" s="280" t="str">
        <f>IF(C41="","",IF(VLOOKUP(C41,登!$B$4:$P$103,3,0)=1,"男","女"))</f>
        <v/>
      </c>
      <c r="K41" s="518"/>
      <c r="N41" s="279">
        <v>34</v>
      </c>
      <c r="O41" s="528">
        <v>34</v>
      </c>
      <c r="P41" s="523" t="s">
        <v>538</v>
      </c>
      <c r="Q41" s="531" t="s">
        <v>398</v>
      </c>
      <c r="R41" s="520"/>
    </row>
    <row r="42" spans="2:18" ht="18.75" customHeight="1">
      <c r="B42" s="479" t="s">
        <v>145</v>
      </c>
      <c r="C42" s="479"/>
      <c r="D42" s="479"/>
      <c r="E42" s="269" t="str">
        <f>IF(VLOOKUP($O$1,$N$7:$R$42,4,0)="","",VLOOKUP($O$1,$N$7:$R$42,4,0))</f>
        <v>7-1</v>
      </c>
      <c r="F42" s="480" t="s">
        <v>146</v>
      </c>
      <c r="G42" s="480"/>
      <c r="H42" s="480"/>
      <c r="I42" s="494">
        <f>IF(VLOOKUP($O$1,$N$7:$R$42,5,0)="","",VLOOKUP($O$1,$N$7:$R$42,5,0))</f>
        <v>43467</v>
      </c>
      <c r="J42" s="494"/>
      <c r="K42" s="494"/>
      <c r="N42" s="281">
        <v>35</v>
      </c>
      <c r="O42" s="529">
        <v>35</v>
      </c>
      <c r="P42" s="524" t="s">
        <v>538</v>
      </c>
      <c r="Q42" s="532" t="s">
        <v>399</v>
      </c>
      <c r="R42" s="521"/>
    </row>
    <row r="43" spans="2:18" ht="10.5" customHeight="1"/>
    <row r="44" spans="2:18" ht="18.75" customHeight="1">
      <c r="C44" s="268"/>
      <c r="D44" s="268"/>
      <c r="E44" s="268"/>
      <c r="F44" s="268"/>
      <c r="G44" s="268"/>
      <c r="H44" s="268"/>
      <c r="I44" s="482" t="str">
        <f>I1</f>
        <v xml:space="preserve">年　　　月　　　日 </v>
      </c>
      <c r="J44" s="482"/>
      <c r="K44" s="482"/>
      <c r="L44" s="268"/>
    </row>
    <row r="45" spans="2:18" ht="18.75" customHeight="1">
      <c r="B45" s="271"/>
      <c r="C45" s="271"/>
      <c r="D45" s="271"/>
      <c r="E45" s="271"/>
      <c r="F45" s="271"/>
      <c r="G45" s="271"/>
      <c r="H45" s="271"/>
      <c r="I45" s="271"/>
      <c r="J45" s="271"/>
      <c r="K45" s="271"/>
    </row>
    <row r="46" spans="2:18" ht="18.75" customHeight="1">
      <c r="B46" s="483" t="s">
        <v>345</v>
      </c>
      <c r="C46" s="483"/>
      <c r="D46" s="483"/>
      <c r="E46" s="483"/>
      <c r="F46" s="483"/>
      <c r="G46" s="483"/>
      <c r="H46" s="483"/>
      <c r="I46" s="483"/>
      <c r="J46" s="483"/>
      <c r="K46" s="483"/>
      <c r="L46" s="272"/>
    </row>
    <row r="47" spans="2:18" ht="18.75" customHeight="1">
      <c r="B47" s="272"/>
      <c r="C47" s="272"/>
    </row>
    <row r="48" spans="2:18" ht="18.75" customHeight="1">
      <c r="C48" s="272"/>
      <c r="D48" s="272"/>
      <c r="E48" s="272"/>
      <c r="F48" s="484" t="str">
        <f>F5</f>
        <v>群馬県立○○○○</v>
      </c>
      <c r="G48" s="484"/>
      <c r="H48" s="484"/>
      <c r="I48" s="272" t="s">
        <v>127</v>
      </c>
      <c r="J48" s="272"/>
      <c r="K48" s="272"/>
    </row>
    <row r="49" spans="1:12" ht="18.75" customHeight="1">
      <c r="B49" s="272"/>
      <c r="C49" s="272"/>
      <c r="D49" s="272"/>
      <c r="E49" s="272"/>
      <c r="F49" s="484" t="s">
        <v>128</v>
      </c>
      <c r="G49" s="484"/>
      <c r="H49" s="484"/>
      <c r="I49" s="485" t="str">
        <f>I6</f>
        <v>○　○　○　○</v>
      </c>
      <c r="J49" s="485"/>
      <c r="K49" s="273" t="s">
        <v>196</v>
      </c>
    </row>
    <row r="50" spans="1:12" ht="18.75" customHeight="1">
      <c r="B50" s="272"/>
      <c r="C50" s="272"/>
    </row>
    <row r="51" spans="1:12" ht="18.75" customHeight="1">
      <c r="A51" s="484" t="str">
        <f>A8</f>
        <v>令和元年度群馬県高体連弓道専門部第</v>
      </c>
      <c r="B51" s="484"/>
      <c r="C51" s="484"/>
      <c r="D51" s="484"/>
      <c r="E51" s="484"/>
      <c r="F51" s="484"/>
      <c r="G51" s="277">
        <f>G8</f>
        <v>1</v>
      </c>
      <c r="H51" s="483" t="str">
        <f>H8</f>
        <v>回　リーダー養成研修会（団体対策）</v>
      </c>
      <c r="I51" s="483"/>
      <c r="J51" s="483"/>
      <c r="K51" s="483"/>
      <c r="L51" s="272"/>
    </row>
    <row r="52" spans="1:12" ht="18.75" customHeight="1">
      <c r="A52" s="483" t="s">
        <v>346</v>
      </c>
      <c r="B52" s="483"/>
      <c r="C52" s="483"/>
      <c r="D52" s="483"/>
      <c r="E52" s="483"/>
      <c r="F52" s="483"/>
      <c r="G52" s="483"/>
      <c r="H52" s="483"/>
      <c r="I52" s="483"/>
      <c r="J52" s="483"/>
      <c r="K52" s="483"/>
      <c r="L52" s="483"/>
    </row>
    <row r="53" spans="1:12" ht="18.75" customHeight="1">
      <c r="B53" s="277"/>
      <c r="C53" s="277"/>
      <c r="D53" s="277"/>
      <c r="E53" s="277"/>
      <c r="F53" s="277"/>
      <c r="G53" s="277"/>
      <c r="H53" s="277"/>
      <c r="I53" s="277"/>
      <c r="J53" s="277"/>
      <c r="K53" s="277"/>
    </row>
    <row r="54" spans="1:12" ht="18.75" customHeight="1">
      <c r="A54" s="483" t="s">
        <v>121</v>
      </c>
      <c r="B54" s="483"/>
      <c r="C54" s="483"/>
      <c r="D54" s="483"/>
      <c r="E54" s="483"/>
      <c r="F54" s="483"/>
      <c r="G54" s="483"/>
      <c r="H54" s="483"/>
      <c r="I54" s="483"/>
      <c r="J54" s="483"/>
      <c r="K54" s="483"/>
      <c r="L54" s="483"/>
    </row>
    <row r="55" spans="1:12" ht="18.75" customHeight="1">
      <c r="B55" s="272"/>
      <c r="C55" s="272"/>
    </row>
    <row r="56" spans="1:12" ht="18.75" customHeight="1">
      <c r="A56" s="485" t="s">
        <v>122</v>
      </c>
      <c r="B56" s="485"/>
      <c r="C56" s="485"/>
      <c r="D56" s="485"/>
      <c r="E56" s="485"/>
      <c r="F56" s="485"/>
      <c r="G56" s="485"/>
      <c r="H56" s="485"/>
      <c r="I56" s="485"/>
      <c r="J56" s="485"/>
      <c r="K56" s="485"/>
      <c r="L56" s="485"/>
    </row>
    <row r="58" spans="1:12" ht="18.75" customHeight="1">
      <c r="B58" s="486" t="s">
        <v>129</v>
      </c>
      <c r="C58" s="487"/>
      <c r="D58" s="487"/>
      <c r="E58" s="487"/>
      <c r="F58" s="488" t="str">
        <f>F15</f>
        <v>教　諭・●　●　●　●</v>
      </c>
      <c r="G58" s="488"/>
      <c r="H58" s="488"/>
      <c r="I58" s="488"/>
      <c r="J58" s="488"/>
      <c r="K58" s="489"/>
    </row>
    <row r="59" spans="1:12" ht="18.75" customHeight="1">
      <c r="B59" s="280" t="s">
        <v>123</v>
      </c>
      <c r="C59" s="280" t="s">
        <v>33</v>
      </c>
      <c r="D59" s="280" t="s">
        <v>124</v>
      </c>
      <c r="E59" s="280" t="s">
        <v>125</v>
      </c>
      <c r="F59" s="486" t="s">
        <v>119</v>
      </c>
      <c r="G59" s="487"/>
      <c r="H59" s="493"/>
      <c r="I59" s="280" t="s">
        <v>120</v>
      </c>
      <c r="J59" s="280" t="s">
        <v>5</v>
      </c>
      <c r="K59" s="280" t="s">
        <v>126</v>
      </c>
    </row>
    <row r="60" spans="1:12" ht="18.75" customHeight="1">
      <c r="B60" s="280">
        <v>1</v>
      </c>
      <c r="C60" s="280" t="str">
        <f>IF(C17="","",C17)</f>
        <v/>
      </c>
      <c r="D60" s="280" t="str">
        <f t="shared" ref="D60:E60" si="0">IF(D17="","",D17)</f>
        <v/>
      </c>
      <c r="E60" s="280" t="str">
        <f t="shared" si="0"/>
        <v/>
      </c>
      <c r="F60" s="490" t="str">
        <f>IF(F17="","",F17)</f>
        <v/>
      </c>
      <c r="G60" s="491"/>
      <c r="H60" s="492"/>
      <c r="I60" s="280" t="str">
        <f t="shared" ref="I60:K84" si="1">IF(I17="","",I17)</f>
        <v/>
      </c>
      <c r="J60" s="280" t="str">
        <f t="shared" si="1"/>
        <v/>
      </c>
      <c r="K60" s="280" t="str">
        <f t="shared" si="1"/>
        <v/>
      </c>
    </row>
    <row r="61" spans="1:12" ht="18.75" customHeight="1">
      <c r="B61" s="280">
        <v>2</v>
      </c>
      <c r="C61" s="280" t="str">
        <f t="shared" ref="C61:F84" si="2">IF(C18="","",C18)</f>
        <v/>
      </c>
      <c r="D61" s="280" t="str">
        <f t="shared" si="2"/>
        <v/>
      </c>
      <c r="E61" s="280" t="str">
        <f t="shared" si="2"/>
        <v/>
      </c>
      <c r="F61" s="490" t="str">
        <f t="shared" si="2"/>
        <v/>
      </c>
      <c r="G61" s="491"/>
      <c r="H61" s="492"/>
      <c r="I61" s="280" t="str">
        <f t="shared" ref="I61:K84" si="3">IF(I18="","",I18)</f>
        <v/>
      </c>
      <c r="J61" s="280" t="str">
        <f t="shared" si="3"/>
        <v/>
      </c>
      <c r="K61" s="280" t="str">
        <f t="shared" si="3"/>
        <v/>
      </c>
    </row>
    <row r="62" spans="1:12" ht="18.75" customHeight="1">
      <c r="B62" s="280">
        <v>3</v>
      </c>
      <c r="C62" s="280" t="str">
        <f t="shared" si="2"/>
        <v/>
      </c>
      <c r="D62" s="280" t="str">
        <f t="shared" si="2"/>
        <v/>
      </c>
      <c r="E62" s="280" t="str">
        <f t="shared" si="2"/>
        <v/>
      </c>
      <c r="F62" s="490" t="str">
        <f t="shared" si="2"/>
        <v/>
      </c>
      <c r="G62" s="491"/>
      <c r="H62" s="492"/>
      <c r="I62" s="280" t="str">
        <f t="shared" ref="I62:K84" si="4">IF(I19="","",I19)</f>
        <v/>
      </c>
      <c r="J62" s="280" t="str">
        <f t="shared" si="4"/>
        <v/>
      </c>
      <c r="K62" s="280" t="str">
        <f t="shared" si="4"/>
        <v/>
      </c>
    </row>
    <row r="63" spans="1:12" ht="18.75" customHeight="1">
      <c r="B63" s="280">
        <v>4</v>
      </c>
      <c r="C63" s="280" t="str">
        <f t="shared" si="2"/>
        <v/>
      </c>
      <c r="D63" s="280" t="str">
        <f t="shared" si="2"/>
        <v/>
      </c>
      <c r="E63" s="280" t="str">
        <f t="shared" si="2"/>
        <v/>
      </c>
      <c r="F63" s="490" t="str">
        <f t="shared" si="2"/>
        <v/>
      </c>
      <c r="G63" s="491"/>
      <c r="H63" s="492"/>
      <c r="I63" s="280" t="str">
        <f t="shared" ref="I63:K84" si="5">IF(I20="","",I20)</f>
        <v/>
      </c>
      <c r="J63" s="280" t="str">
        <f t="shared" si="5"/>
        <v/>
      </c>
      <c r="K63" s="280" t="str">
        <f t="shared" si="5"/>
        <v/>
      </c>
    </row>
    <row r="64" spans="1:12" ht="18.75" customHeight="1">
      <c r="B64" s="280">
        <v>5</v>
      </c>
      <c r="C64" s="280" t="str">
        <f t="shared" si="2"/>
        <v/>
      </c>
      <c r="D64" s="280" t="str">
        <f t="shared" si="2"/>
        <v/>
      </c>
      <c r="E64" s="280" t="str">
        <f t="shared" si="2"/>
        <v/>
      </c>
      <c r="F64" s="490" t="str">
        <f t="shared" si="2"/>
        <v/>
      </c>
      <c r="G64" s="491"/>
      <c r="H64" s="492"/>
      <c r="I64" s="280" t="str">
        <f t="shared" ref="I64:K84" si="6">IF(I21="","",I21)</f>
        <v/>
      </c>
      <c r="J64" s="280" t="str">
        <f t="shared" si="6"/>
        <v/>
      </c>
      <c r="K64" s="280" t="str">
        <f t="shared" si="6"/>
        <v/>
      </c>
    </row>
    <row r="65" spans="2:11" ht="18.75" customHeight="1">
      <c r="B65" s="280">
        <v>6</v>
      </c>
      <c r="C65" s="280" t="str">
        <f t="shared" si="2"/>
        <v/>
      </c>
      <c r="D65" s="280" t="str">
        <f t="shared" si="2"/>
        <v/>
      </c>
      <c r="E65" s="280" t="str">
        <f t="shared" si="2"/>
        <v/>
      </c>
      <c r="F65" s="490" t="str">
        <f t="shared" si="2"/>
        <v/>
      </c>
      <c r="G65" s="491"/>
      <c r="H65" s="492"/>
      <c r="I65" s="280" t="str">
        <f t="shared" ref="I65:K84" si="7">IF(I22="","",I22)</f>
        <v/>
      </c>
      <c r="J65" s="280" t="str">
        <f t="shared" si="7"/>
        <v/>
      </c>
      <c r="K65" s="280" t="str">
        <f t="shared" si="7"/>
        <v/>
      </c>
    </row>
    <row r="66" spans="2:11" ht="18.75" customHeight="1">
      <c r="B66" s="280">
        <v>7</v>
      </c>
      <c r="C66" s="280" t="str">
        <f t="shared" si="2"/>
        <v/>
      </c>
      <c r="D66" s="280" t="str">
        <f t="shared" si="2"/>
        <v/>
      </c>
      <c r="E66" s="280" t="str">
        <f t="shared" si="2"/>
        <v/>
      </c>
      <c r="F66" s="490" t="str">
        <f t="shared" si="2"/>
        <v/>
      </c>
      <c r="G66" s="491"/>
      <c r="H66" s="492"/>
      <c r="I66" s="280" t="str">
        <f t="shared" ref="I66:K84" si="8">IF(I23="","",I23)</f>
        <v/>
      </c>
      <c r="J66" s="280" t="str">
        <f t="shared" si="8"/>
        <v/>
      </c>
      <c r="K66" s="280" t="str">
        <f t="shared" si="8"/>
        <v/>
      </c>
    </row>
    <row r="67" spans="2:11" ht="18.75" customHeight="1">
      <c r="B67" s="280">
        <v>8</v>
      </c>
      <c r="C67" s="280" t="str">
        <f t="shared" si="2"/>
        <v/>
      </c>
      <c r="D67" s="280" t="str">
        <f t="shared" si="2"/>
        <v/>
      </c>
      <c r="E67" s="280" t="str">
        <f t="shared" si="2"/>
        <v/>
      </c>
      <c r="F67" s="490" t="str">
        <f t="shared" si="2"/>
        <v/>
      </c>
      <c r="G67" s="491"/>
      <c r="H67" s="492"/>
      <c r="I67" s="280" t="str">
        <f t="shared" ref="I67:K84" si="9">IF(I24="","",I24)</f>
        <v/>
      </c>
      <c r="J67" s="280" t="str">
        <f t="shared" si="9"/>
        <v/>
      </c>
      <c r="K67" s="280" t="str">
        <f t="shared" si="9"/>
        <v/>
      </c>
    </row>
    <row r="68" spans="2:11" ht="18.75" customHeight="1">
      <c r="B68" s="280">
        <v>9</v>
      </c>
      <c r="C68" s="280" t="str">
        <f t="shared" si="2"/>
        <v/>
      </c>
      <c r="D68" s="280" t="str">
        <f t="shared" si="2"/>
        <v/>
      </c>
      <c r="E68" s="280" t="str">
        <f t="shared" si="2"/>
        <v/>
      </c>
      <c r="F68" s="490" t="str">
        <f t="shared" si="2"/>
        <v/>
      </c>
      <c r="G68" s="491"/>
      <c r="H68" s="492"/>
      <c r="I68" s="280" t="str">
        <f t="shared" ref="I68:K84" si="10">IF(I25="","",I25)</f>
        <v/>
      </c>
      <c r="J68" s="280" t="str">
        <f t="shared" si="10"/>
        <v/>
      </c>
      <c r="K68" s="280" t="str">
        <f t="shared" si="10"/>
        <v/>
      </c>
    </row>
    <row r="69" spans="2:11" ht="18.75" customHeight="1">
      <c r="B69" s="280">
        <v>10</v>
      </c>
      <c r="C69" s="280" t="str">
        <f t="shared" si="2"/>
        <v/>
      </c>
      <c r="D69" s="280" t="str">
        <f t="shared" si="2"/>
        <v/>
      </c>
      <c r="E69" s="280" t="str">
        <f t="shared" si="2"/>
        <v/>
      </c>
      <c r="F69" s="490" t="str">
        <f t="shared" si="2"/>
        <v/>
      </c>
      <c r="G69" s="491"/>
      <c r="H69" s="492"/>
      <c r="I69" s="280" t="str">
        <f t="shared" ref="I69:K84" si="11">IF(I26="","",I26)</f>
        <v/>
      </c>
      <c r="J69" s="280" t="str">
        <f t="shared" si="11"/>
        <v/>
      </c>
      <c r="K69" s="280" t="str">
        <f t="shared" si="11"/>
        <v/>
      </c>
    </row>
    <row r="70" spans="2:11" ht="18.75" customHeight="1">
      <c r="B70" s="280">
        <v>11</v>
      </c>
      <c r="C70" s="280" t="str">
        <f t="shared" si="2"/>
        <v/>
      </c>
      <c r="D70" s="280" t="str">
        <f t="shared" si="2"/>
        <v/>
      </c>
      <c r="E70" s="280" t="str">
        <f t="shared" si="2"/>
        <v/>
      </c>
      <c r="F70" s="490" t="str">
        <f t="shared" si="2"/>
        <v/>
      </c>
      <c r="G70" s="491"/>
      <c r="H70" s="492"/>
      <c r="I70" s="280" t="str">
        <f t="shared" ref="I70:K84" si="12">IF(I27="","",I27)</f>
        <v/>
      </c>
      <c r="J70" s="280" t="str">
        <f t="shared" si="12"/>
        <v/>
      </c>
      <c r="K70" s="280" t="str">
        <f t="shared" si="12"/>
        <v/>
      </c>
    </row>
    <row r="71" spans="2:11" ht="18.75" customHeight="1">
      <c r="B71" s="280">
        <v>12</v>
      </c>
      <c r="C71" s="280" t="str">
        <f t="shared" si="2"/>
        <v/>
      </c>
      <c r="D71" s="280" t="str">
        <f t="shared" si="2"/>
        <v/>
      </c>
      <c r="E71" s="280" t="str">
        <f t="shared" si="2"/>
        <v/>
      </c>
      <c r="F71" s="490" t="str">
        <f t="shared" si="2"/>
        <v/>
      </c>
      <c r="G71" s="491"/>
      <c r="H71" s="492"/>
      <c r="I71" s="280" t="str">
        <f t="shared" ref="I71:K84" si="13">IF(I28="","",I28)</f>
        <v/>
      </c>
      <c r="J71" s="280" t="str">
        <f t="shared" si="13"/>
        <v/>
      </c>
      <c r="K71" s="280" t="str">
        <f t="shared" si="13"/>
        <v/>
      </c>
    </row>
    <row r="72" spans="2:11" ht="18.75" customHeight="1">
      <c r="B72" s="280">
        <v>13</v>
      </c>
      <c r="C72" s="280" t="str">
        <f t="shared" si="2"/>
        <v/>
      </c>
      <c r="D72" s="280" t="str">
        <f t="shared" si="2"/>
        <v/>
      </c>
      <c r="E72" s="280" t="str">
        <f t="shared" si="2"/>
        <v/>
      </c>
      <c r="F72" s="490" t="str">
        <f t="shared" si="2"/>
        <v/>
      </c>
      <c r="G72" s="491"/>
      <c r="H72" s="492"/>
      <c r="I72" s="280" t="str">
        <f t="shared" ref="I72:K84" si="14">IF(I29="","",I29)</f>
        <v/>
      </c>
      <c r="J72" s="280" t="str">
        <f t="shared" si="14"/>
        <v/>
      </c>
      <c r="K72" s="280" t="str">
        <f t="shared" si="14"/>
        <v/>
      </c>
    </row>
    <row r="73" spans="2:11" ht="18.75" customHeight="1">
      <c r="B73" s="280">
        <v>14</v>
      </c>
      <c r="C73" s="280" t="str">
        <f t="shared" si="2"/>
        <v/>
      </c>
      <c r="D73" s="280" t="str">
        <f t="shared" si="2"/>
        <v/>
      </c>
      <c r="E73" s="280" t="str">
        <f t="shared" si="2"/>
        <v/>
      </c>
      <c r="F73" s="490" t="str">
        <f t="shared" si="2"/>
        <v/>
      </c>
      <c r="G73" s="491"/>
      <c r="H73" s="492"/>
      <c r="I73" s="280" t="str">
        <f t="shared" ref="I73:K84" si="15">IF(I30="","",I30)</f>
        <v/>
      </c>
      <c r="J73" s="280" t="str">
        <f t="shared" si="15"/>
        <v/>
      </c>
      <c r="K73" s="280" t="str">
        <f t="shared" si="15"/>
        <v/>
      </c>
    </row>
    <row r="74" spans="2:11" ht="18.75" customHeight="1">
      <c r="B74" s="280">
        <v>15</v>
      </c>
      <c r="C74" s="280" t="str">
        <f t="shared" si="2"/>
        <v/>
      </c>
      <c r="D74" s="280" t="str">
        <f t="shared" si="2"/>
        <v/>
      </c>
      <c r="E74" s="280" t="str">
        <f t="shared" si="2"/>
        <v/>
      </c>
      <c r="F74" s="490" t="str">
        <f t="shared" si="2"/>
        <v/>
      </c>
      <c r="G74" s="491"/>
      <c r="H74" s="492"/>
      <c r="I74" s="280" t="str">
        <f t="shared" ref="I74:K84" si="16">IF(I31="","",I31)</f>
        <v/>
      </c>
      <c r="J74" s="280" t="str">
        <f t="shared" si="16"/>
        <v/>
      </c>
      <c r="K74" s="280" t="str">
        <f t="shared" si="16"/>
        <v/>
      </c>
    </row>
    <row r="75" spans="2:11" ht="18.75" customHeight="1">
      <c r="B75" s="280">
        <v>16</v>
      </c>
      <c r="C75" s="280" t="str">
        <f t="shared" si="2"/>
        <v/>
      </c>
      <c r="D75" s="280" t="str">
        <f t="shared" si="2"/>
        <v/>
      </c>
      <c r="E75" s="280" t="str">
        <f t="shared" si="2"/>
        <v/>
      </c>
      <c r="F75" s="490" t="str">
        <f t="shared" si="2"/>
        <v/>
      </c>
      <c r="G75" s="491"/>
      <c r="H75" s="492"/>
      <c r="I75" s="280" t="str">
        <f t="shared" ref="I75:K84" si="17">IF(I32="","",I32)</f>
        <v/>
      </c>
      <c r="J75" s="280" t="str">
        <f t="shared" si="17"/>
        <v/>
      </c>
      <c r="K75" s="280" t="str">
        <f t="shared" si="17"/>
        <v/>
      </c>
    </row>
    <row r="76" spans="2:11" ht="18.75" customHeight="1">
      <c r="B76" s="280">
        <v>17</v>
      </c>
      <c r="C76" s="280" t="str">
        <f t="shared" si="2"/>
        <v/>
      </c>
      <c r="D76" s="280" t="str">
        <f t="shared" si="2"/>
        <v/>
      </c>
      <c r="E76" s="280" t="str">
        <f t="shared" si="2"/>
        <v/>
      </c>
      <c r="F76" s="490" t="str">
        <f t="shared" si="2"/>
        <v/>
      </c>
      <c r="G76" s="491"/>
      <c r="H76" s="492"/>
      <c r="I76" s="280" t="str">
        <f t="shared" ref="I76:K84" si="18">IF(I33="","",I33)</f>
        <v/>
      </c>
      <c r="J76" s="280" t="str">
        <f t="shared" si="18"/>
        <v/>
      </c>
      <c r="K76" s="280" t="str">
        <f t="shared" si="18"/>
        <v/>
      </c>
    </row>
    <row r="77" spans="2:11" ht="18.75" customHeight="1">
      <c r="B77" s="280">
        <v>18</v>
      </c>
      <c r="C77" s="280" t="str">
        <f t="shared" si="2"/>
        <v/>
      </c>
      <c r="D77" s="280" t="str">
        <f t="shared" si="2"/>
        <v/>
      </c>
      <c r="E77" s="280" t="str">
        <f t="shared" si="2"/>
        <v/>
      </c>
      <c r="F77" s="490" t="str">
        <f t="shared" si="2"/>
        <v/>
      </c>
      <c r="G77" s="491"/>
      <c r="H77" s="492"/>
      <c r="I77" s="280" t="str">
        <f t="shared" ref="I77:K84" si="19">IF(I34="","",I34)</f>
        <v/>
      </c>
      <c r="J77" s="280" t="str">
        <f t="shared" si="19"/>
        <v/>
      </c>
      <c r="K77" s="280" t="str">
        <f t="shared" si="19"/>
        <v/>
      </c>
    </row>
    <row r="78" spans="2:11" ht="18.75" customHeight="1">
      <c r="B78" s="280">
        <v>19</v>
      </c>
      <c r="C78" s="280" t="str">
        <f t="shared" si="2"/>
        <v/>
      </c>
      <c r="D78" s="280" t="str">
        <f t="shared" si="2"/>
        <v/>
      </c>
      <c r="E78" s="280" t="str">
        <f t="shared" si="2"/>
        <v/>
      </c>
      <c r="F78" s="490" t="str">
        <f t="shared" si="2"/>
        <v/>
      </c>
      <c r="G78" s="491"/>
      <c r="H78" s="492"/>
      <c r="I78" s="280" t="str">
        <f t="shared" ref="I78:K84" si="20">IF(I35="","",I35)</f>
        <v/>
      </c>
      <c r="J78" s="280" t="str">
        <f t="shared" si="20"/>
        <v/>
      </c>
      <c r="K78" s="280" t="str">
        <f t="shared" si="20"/>
        <v/>
      </c>
    </row>
    <row r="79" spans="2:11" ht="18.75" customHeight="1">
      <c r="B79" s="280">
        <v>20</v>
      </c>
      <c r="C79" s="280" t="str">
        <f t="shared" si="2"/>
        <v/>
      </c>
      <c r="D79" s="280" t="str">
        <f t="shared" si="2"/>
        <v/>
      </c>
      <c r="E79" s="280" t="str">
        <f t="shared" si="2"/>
        <v/>
      </c>
      <c r="F79" s="490" t="str">
        <f t="shared" si="2"/>
        <v/>
      </c>
      <c r="G79" s="491"/>
      <c r="H79" s="492"/>
      <c r="I79" s="280" t="str">
        <f t="shared" ref="I79:K84" si="21">IF(I36="","",I36)</f>
        <v/>
      </c>
      <c r="J79" s="280" t="str">
        <f t="shared" si="21"/>
        <v/>
      </c>
      <c r="K79" s="280" t="str">
        <f t="shared" si="21"/>
        <v/>
      </c>
    </row>
    <row r="80" spans="2:11" ht="18.75" customHeight="1">
      <c r="B80" s="280">
        <v>21</v>
      </c>
      <c r="C80" s="280" t="str">
        <f t="shared" si="2"/>
        <v/>
      </c>
      <c r="D80" s="280" t="str">
        <f t="shared" si="2"/>
        <v/>
      </c>
      <c r="E80" s="280" t="str">
        <f t="shared" si="2"/>
        <v/>
      </c>
      <c r="F80" s="490" t="str">
        <f t="shared" si="2"/>
        <v/>
      </c>
      <c r="G80" s="491"/>
      <c r="H80" s="492"/>
      <c r="I80" s="280" t="str">
        <f t="shared" ref="I80:K84" si="22">IF(I37="","",I37)</f>
        <v/>
      </c>
      <c r="J80" s="280" t="str">
        <f t="shared" si="22"/>
        <v/>
      </c>
      <c r="K80" s="280" t="str">
        <f t="shared" si="22"/>
        <v/>
      </c>
    </row>
    <row r="81" spans="2:11" ht="18.75" customHeight="1">
      <c r="B81" s="280">
        <v>22</v>
      </c>
      <c r="C81" s="280" t="str">
        <f t="shared" si="2"/>
        <v/>
      </c>
      <c r="D81" s="280" t="str">
        <f t="shared" si="2"/>
        <v/>
      </c>
      <c r="E81" s="280" t="str">
        <f t="shared" si="2"/>
        <v/>
      </c>
      <c r="F81" s="490" t="str">
        <f t="shared" si="2"/>
        <v/>
      </c>
      <c r="G81" s="491"/>
      <c r="H81" s="492"/>
      <c r="I81" s="280" t="str">
        <f t="shared" ref="I81:K84" si="23">IF(I38="","",I38)</f>
        <v/>
      </c>
      <c r="J81" s="280" t="str">
        <f t="shared" si="23"/>
        <v/>
      </c>
      <c r="K81" s="280" t="str">
        <f t="shared" si="23"/>
        <v/>
      </c>
    </row>
    <row r="82" spans="2:11" ht="18.75" customHeight="1">
      <c r="B82" s="280">
        <v>23</v>
      </c>
      <c r="C82" s="280" t="str">
        <f t="shared" si="2"/>
        <v/>
      </c>
      <c r="D82" s="280" t="str">
        <f t="shared" si="2"/>
        <v/>
      </c>
      <c r="E82" s="280" t="str">
        <f t="shared" si="2"/>
        <v/>
      </c>
      <c r="F82" s="490" t="str">
        <f t="shared" si="2"/>
        <v/>
      </c>
      <c r="G82" s="491"/>
      <c r="H82" s="492"/>
      <c r="I82" s="280" t="str">
        <f t="shared" ref="I82:K84" si="24">IF(I39="","",I39)</f>
        <v/>
      </c>
      <c r="J82" s="280" t="str">
        <f t="shared" si="24"/>
        <v/>
      </c>
      <c r="K82" s="280" t="str">
        <f t="shared" si="24"/>
        <v/>
      </c>
    </row>
    <row r="83" spans="2:11" ht="18.75" customHeight="1">
      <c r="B83" s="280">
        <v>24</v>
      </c>
      <c r="C83" s="280" t="str">
        <f t="shared" si="2"/>
        <v/>
      </c>
      <c r="D83" s="280" t="str">
        <f t="shared" si="2"/>
        <v/>
      </c>
      <c r="E83" s="280" t="str">
        <f t="shared" si="2"/>
        <v/>
      </c>
      <c r="F83" s="490" t="str">
        <f t="shared" si="2"/>
        <v/>
      </c>
      <c r="G83" s="491"/>
      <c r="H83" s="492"/>
      <c r="I83" s="280" t="str">
        <f t="shared" ref="I83:K84" si="25">IF(I40="","",I40)</f>
        <v/>
      </c>
      <c r="J83" s="280" t="str">
        <f t="shared" si="25"/>
        <v/>
      </c>
      <c r="K83" s="280" t="str">
        <f t="shared" si="25"/>
        <v/>
      </c>
    </row>
    <row r="84" spans="2:11" ht="18.75" customHeight="1">
      <c r="B84" s="280">
        <v>25</v>
      </c>
      <c r="C84" s="280" t="str">
        <f t="shared" si="2"/>
        <v/>
      </c>
      <c r="D84" s="280" t="str">
        <f t="shared" si="2"/>
        <v/>
      </c>
      <c r="E84" s="280" t="str">
        <f t="shared" si="2"/>
        <v/>
      </c>
      <c r="F84" s="490" t="str">
        <f t="shared" si="2"/>
        <v/>
      </c>
      <c r="G84" s="491"/>
      <c r="H84" s="492"/>
      <c r="I84" s="280" t="str">
        <f t="shared" ref="I84:K84" si="26">IF(I41="","",I41)</f>
        <v/>
      </c>
      <c r="J84" s="280" t="str">
        <f t="shared" si="26"/>
        <v/>
      </c>
      <c r="K84" s="280" t="str">
        <f t="shared" si="26"/>
        <v/>
      </c>
    </row>
    <row r="85" spans="2:11" ht="18.75" customHeight="1">
      <c r="B85" s="479" t="s">
        <v>145</v>
      </c>
      <c r="C85" s="479"/>
      <c r="D85" s="479"/>
      <c r="E85" s="269" t="str">
        <f>E42</f>
        <v>7-1</v>
      </c>
      <c r="F85" s="480" t="s">
        <v>146</v>
      </c>
      <c r="G85" s="480"/>
      <c r="H85" s="480"/>
      <c r="I85" s="481">
        <f>I42</f>
        <v>43467</v>
      </c>
      <c r="J85" s="481"/>
      <c r="K85" s="481"/>
    </row>
  </sheetData>
  <sheetProtection password="CC71" sheet="1" objects="1" scenarios="1"/>
  <mergeCells count="83">
    <mergeCell ref="B3:K3"/>
    <mergeCell ref="I1:K1"/>
    <mergeCell ref="F5:H5"/>
    <mergeCell ref="F37:H37"/>
    <mergeCell ref="F38:H38"/>
    <mergeCell ref="I6:J6"/>
    <mergeCell ref="F25:H25"/>
    <mergeCell ref="F26:H26"/>
    <mergeCell ref="F27:H27"/>
    <mergeCell ref="F28:H28"/>
    <mergeCell ref="F29:H29"/>
    <mergeCell ref="F30:H30"/>
    <mergeCell ref="F19:H19"/>
    <mergeCell ref="F20:H20"/>
    <mergeCell ref="F21:H21"/>
    <mergeCell ref="F22:H22"/>
    <mergeCell ref="F17:H17"/>
    <mergeCell ref="F18:H18"/>
    <mergeCell ref="H8:K8"/>
    <mergeCell ref="F42:H42"/>
    <mergeCell ref="F31:H31"/>
    <mergeCell ref="F32:H32"/>
    <mergeCell ref="F33:H33"/>
    <mergeCell ref="F34:H34"/>
    <mergeCell ref="F35:H35"/>
    <mergeCell ref="F36:H36"/>
    <mergeCell ref="F40:H40"/>
    <mergeCell ref="F41:H41"/>
    <mergeCell ref="F39:H39"/>
    <mergeCell ref="F59:H59"/>
    <mergeCell ref="F60:H60"/>
    <mergeCell ref="F48:H48"/>
    <mergeCell ref="O1:O2"/>
    <mergeCell ref="B42:D42"/>
    <mergeCell ref="I42:K42"/>
    <mergeCell ref="A9:L9"/>
    <mergeCell ref="B15:E15"/>
    <mergeCell ref="A11:L11"/>
    <mergeCell ref="A13:L13"/>
    <mergeCell ref="F15:K15"/>
    <mergeCell ref="F23:H23"/>
    <mergeCell ref="F24:H24"/>
    <mergeCell ref="A8:F8"/>
    <mergeCell ref="F6:H6"/>
    <mergeCell ref="F16:H16"/>
    <mergeCell ref="F61:H61"/>
    <mergeCell ref="F62:H62"/>
    <mergeCell ref="F63:H63"/>
    <mergeCell ref="F64:H64"/>
    <mergeCell ref="F65:H65"/>
    <mergeCell ref="F66:H66"/>
    <mergeCell ref="F67:H67"/>
    <mergeCell ref="F68:H68"/>
    <mergeCell ref="F69:H69"/>
    <mergeCell ref="F70:H70"/>
    <mergeCell ref="F71:H71"/>
    <mergeCell ref="F72:H72"/>
    <mergeCell ref="F73:H73"/>
    <mergeCell ref="F74:H74"/>
    <mergeCell ref="F75:H75"/>
    <mergeCell ref="F83:H83"/>
    <mergeCell ref="F84:H84"/>
    <mergeCell ref="F76:H76"/>
    <mergeCell ref="F77:H77"/>
    <mergeCell ref="F78:H78"/>
    <mergeCell ref="F79:H79"/>
    <mergeCell ref="F80:H80"/>
    <mergeCell ref="B85:D85"/>
    <mergeCell ref="F85:H85"/>
    <mergeCell ref="I85:K85"/>
    <mergeCell ref="I44:K44"/>
    <mergeCell ref="B46:K46"/>
    <mergeCell ref="F49:H49"/>
    <mergeCell ref="I49:J49"/>
    <mergeCell ref="A51:F51"/>
    <mergeCell ref="H51:K51"/>
    <mergeCell ref="A52:L52"/>
    <mergeCell ref="A54:L54"/>
    <mergeCell ref="A56:L56"/>
    <mergeCell ref="B58:E58"/>
    <mergeCell ref="F58:K58"/>
    <mergeCell ref="F81:H81"/>
    <mergeCell ref="F82:H82"/>
  </mergeCells>
  <phoneticPr fontId="2"/>
  <dataValidations count="1">
    <dataValidation type="list" allowBlank="1" showInputMessage="1" showErrorMessage="1" sqref="R6">
      <formula1>"（団体対策）,（関ブロ突破対策）"</formula1>
    </dataValidation>
  </dataValidations>
  <pageMargins left="0.78740157480314965" right="0.78740157480314965" top="0.78740157480314965" bottom="0.78740157480314965" header="0.19685039370078741" footer="0.1968503937007874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Spinner 1">
              <controlPr locked="0" defaultSize="0" autoPict="0">
                <anchor moveWithCells="1" sizeWithCells="1">
                  <from>
                    <xdr:col>15</xdr:col>
                    <xdr:colOff>257175</xdr:colOff>
                    <xdr:row>0</xdr:row>
                    <xdr:rowOff>95250</xdr:rowOff>
                  </from>
                  <to>
                    <xdr:col>15</xdr:col>
                    <xdr:colOff>704850</xdr:colOff>
                    <xdr:row>3</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50"/>
  <sheetViews>
    <sheetView zoomScaleNormal="100" workbookViewId="0">
      <selection sqref="A1:I1"/>
    </sheetView>
  </sheetViews>
  <sheetFormatPr defaultColWidth="9.75" defaultRowHeight="17.25" customHeight="1"/>
  <cols>
    <col min="1" max="2" width="9.75" style="69"/>
    <col min="3" max="3" width="9.75" style="69" customWidth="1"/>
    <col min="4" max="16384" width="9.75" style="69"/>
  </cols>
  <sheetData>
    <row r="1" spans="1:9" ht="27.75" customHeight="1">
      <c r="A1" s="371" t="s">
        <v>402</v>
      </c>
      <c r="B1" s="372"/>
      <c r="C1" s="372"/>
      <c r="D1" s="372"/>
      <c r="E1" s="372"/>
      <c r="F1" s="372"/>
      <c r="G1" s="372"/>
      <c r="H1" s="372"/>
      <c r="I1" s="373"/>
    </row>
    <row r="2" spans="1:9" ht="14.25" customHeight="1">
      <c r="A2" s="366" t="s">
        <v>0</v>
      </c>
      <c r="B2" s="364" t="s">
        <v>1</v>
      </c>
      <c r="C2" s="364" t="s">
        <v>323</v>
      </c>
      <c r="D2" s="70" t="s">
        <v>130</v>
      </c>
      <c r="E2" s="70" t="s">
        <v>324</v>
      </c>
      <c r="F2" s="70" t="s">
        <v>327</v>
      </c>
      <c r="G2" s="70" t="s">
        <v>325</v>
      </c>
      <c r="H2" s="70" t="s">
        <v>326</v>
      </c>
      <c r="I2" s="70" t="s">
        <v>131</v>
      </c>
    </row>
    <row r="3" spans="1:9" ht="14.25" customHeight="1">
      <c r="A3" s="367"/>
      <c r="B3" s="365"/>
      <c r="C3" s="365"/>
      <c r="D3" s="70" t="s">
        <v>32</v>
      </c>
      <c r="E3" s="70" t="s">
        <v>32</v>
      </c>
      <c r="F3" s="70" t="s">
        <v>32</v>
      </c>
      <c r="G3" s="70" t="s">
        <v>32</v>
      </c>
      <c r="H3" s="70" t="s">
        <v>32</v>
      </c>
      <c r="I3" s="70" t="s">
        <v>32</v>
      </c>
    </row>
    <row r="4" spans="1:9" ht="17.25" customHeight="1">
      <c r="A4" s="71">
        <v>31</v>
      </c>
      <c r="B4" s="70" t="s">
        <v>187</v>
      </c>
      <c r="C4" s="70">
        <v>1</v>
      </c>
      <c r="D4" s="70">
        <v>27</v>
      </c>
      <c r="E4" s="70">
        <v>2</v>
      </c>
      <c r="F4" s="70">
        <v>14</v>
      </c>
      <c r="G4" s="70">
        <v>46</v>
      </c>
      <c r="H4" s="70">
        <v>7</v>
      </c>
      <c r="I4" s="70">
        <v>47</v>
      </c>
    </row>
    <row r="5" spans="1:9" ht="17.25" customHeight="1">
      <c r="A5" s="71">
        <v>7</v>
      </c>
      <c r="B5" s="70" t="s">
        <v>166</v>
      </c>
      <c r="C5" s="70">
        <v>2</v>
      </c>
      <c r="D5" s="70">
        <v>9</v>
      </c>
      <c r="E5" s="70">
        <v>5</v>
      </c>
      <c r="F5" s="70">
        <v>24</v>
      </c>
      <c r="G5" s="70">
        <v>40</v>
      </c>
      <c r="H5" s="70">
        <v>44</v>
      </c>
      <c r="I5" s="70">
        <v>22</v>
      </c>
    </row>
    <row r="6" spans="1:9" ht="17.25" customHeight="1">
      <c r="A6" s="71">
        <v>73</v>
      </c>
      <c r="B6" s="70" t="s">
        <v>188</v>
      </c>
      <c r="C6" s="70">
        <v>3</v>
      </c>
      <c r="D6" s="70">
        <v>16</v>
      </c>
      <c r="E6" s="70">
        <v>19</v>
      </c>
      <c r="F6" s="70">
        <v>22</v>
      </c>
      <c r="G6" s="70">
        <v>33</v>
      </c>
      <c r="H6" s="70">
        <v>42</v>
      </c>
      <c r="I6" s="70">
        <v>10</v>
      </c>
    </row>
    <row r="7" spans="1:9" ht="17.25" customHeight="1">
      <c r="A7" s="71">
        <v>6</v>
      </c>
      <c r="B7" s="70" t="s">
        <v>162</v>
      </c>
      <c r="C7" s="70">
        <v>4</v>
      </c>
      <c r="D7" s="70">
        <v>21</v>
      </c>
      <c r="E7" s="70">
        <v>10</v>
      </c>
      <c r="F7" s="70">
        <v>26</v>
      </c>
      <c r="G7" s="70">
        <v>45</v>
      </c>
      <c r="H7" s="70">
        <v>40</v>
      </c>
      <c r="I7" s="70">
        <v>6</v>
      </c>
    </row>
    <row r="8" spans="1:9" ht="17.25" customHeight="1">
      <c r="A8" s="71">
        <v>16</v>
      </c>
      <c r="B8" s="70" t="s">
        <v>161</v>
      </c>
      <c r="C8" s="70">
        <v>5</v>
      </c>
      <c r="D8" s="70">
        <v>37</v>
      </c>
      <c r="E8" s="70">
        <v>43</v>
      </c>
      <c r="F8" s="70">
        <v>10</v>
      </c>
      <c r="G8" s="70">
        <v>30</v>
      </c>
      <c r="H8" s="70">
        <v>24</v>
      </c>
      <c r="I8" s="70">
        <v>1</v>
      </c>
    </row>
    <row r="9" spans="1:9" ht="17.25" customHeight="1">
      <c r="A9" s="71">
        <v>67</v>
      </c>
      <c r="B9" s="70" t="s">
        <v>183</v>
      </c>
      <c r="C9" s="70">
        <v>6</v>
      </c>
      <c r="D9" s="70">
        <v>3</v>
      </c>
      <c r="E9" s="70">
        <v>21</v>
      </c>
      <c r="F9" s="70">
        <v>43</v>
      </c>
      <c r="G9" s="70">
        <v>22</v>
      </c>
      <c r="H9" s="70">
        <v>39</v>
      </c>
      <c r="I9" s="70">
        <v>15</v>
      </c>
    </row>
    <row r="10" spans="1:9" ht="17.25" customHeight="1">
      <c r="A10" s="71">
        <v>15</v>
      </c>
      <c r="B10" s="70" t="s">
        <v>152</v>
      </c>
      <c r="C10" s="70">
        <v>7</v>
      </c>
      <c r="D10" s="70">
        <v>26</v>
      </c>
      <c r="E10" s="70">
        <v>15</v>
      </c>
      <c r="F10" s="70">
        <v>33</v>
      </c>
      <c r="G10" s="70">
        <v>25</v>
      </c>
      <c r="H10" s="70">
        <v>36</v>
      </c>
      <c r="I10" s="70">
        <v>12</v>
      </c>
    </row>
    <row r="11" spans="1:9" ht="17.25" customHeight="1">
      <c r="A11" s="71">
        <v>3</v>
      </c>
      <c r="B11" s="70" t="s">
        <v>149</v>
      </c>
      <c r="C11" s="70">
        <v>8</v>
      </c>
      <c r="D11" s="70">
        <v>30</v>
      </c>
      <c r="E11" s="70">
        <v>16</v>
      </c>
      <c r="F11" s="70">
        <v>42</v>
      </c>
      <c r="G11" s="70">
        <v>17</v>
      </c>
      <c r="H11" s="70">
        <v>29</v>
      </c>
      <c r="I11" s="70">
        <v>14</v>
      </c>
    </row>
    <row r="12" spans="1:9" ht="17.25" customHeight="1">
      <c r="A12" s="71">
        <v>14</v>
      </c>
      <c r="B12" s="70" t="s">
        <v>180</v>
      </c>
      <c r="C12" s="70">
        <v>9</v>
      </c>
      <c r="D12" s="70">
        <v>24</v>
      </c>
      <c r="E12" s="70">
        <v>26</v>
      </c>
      <c r="F12" s="70">
        <v>34</v>
      </c>
      <c r="G12" s="70">
        <v>13</v>
      </c>
      <c r="H12" s="70">
        <v>1</v>
      </c>
      <c r="I12" s="70">
        <v>41</v>
      </c>
    </row>
    <row r="13" spans="1:9" ht="17.25" customHeight="1">
      <c r="A13" s="71">
        <v>71</v>
      </c>
      <c r="B13" s="70" t="s">
        <v>165</v>
      </c>
      <c r="C13" s="70">
        <v>10</v>
      </c>
      <c r="D13" s="70">
        <v>47</v>
      </c>
      <c r="E13" s="70">
        <v>30</v>
      </c>
      <c r="F13" s="70">
        <v>23</v>
      </c>
      <c r="G13" s="70">
        <v>10</v>
      </c>
      <c r="H13" s="70">
        <v>12</v>
      </c>
      <c r="I13" s="70">
        <v>18</v>
      </c>
    </row>
    <row r="14" spans="1:9" ht="17.25" customHeight="1">
      <c r="A14" s="71">
        <v>63</v>
      </c>
      <c r="B14" s="70" t="s">
        <v>151</v>
      </c>
      <c r="C14" s="70">
        <v>11</v>
      </c>
      <c r="D14" s="70">
        <v>18</v>
      </c>
      <c r="E14" s="70">
        <v>33</v>
      </c>
      <c r="F14" s="70">
        <v>8</v>
      </c>
      <c r="G14" s="70">
        <v>32</v>
      </c>
      <c r="H14" s="70">
        <v>45</v>
      </c>
      <c r="I14" s="70">
        <v>4</v>
      </c>
    </row>
    <row r="15" spans="1:9" ht="17.25" customHeight="1">
      <c r="A15" s="71">
        <v>41</v>
      </c>
      <c r="B15" s="70" t="s">
        <v>330</v>
      </c>
      <c r="C15" s="70">
        <v>12</v>
      </c>
      <c r="D15" s="70">
        <v>25</v>
      </c>
      <c r="E15" s="70">
        <v>44</v>
      </c>
      <c r="F15" s="70">
        <v>4</v>
      </c>
      <c r="G15" s="70">
        <v>19</v>
      </c>
      <c r="H15" s="70">
        <v>38</v>
      </c>
      <c r="I15" s="70">
        <v>16</v>
      </c>
    </row>
    <row r="16" spans="1:9" ht="17.25" customHeight="1">
      <c r="A16" s="71">
        <v>74</v>
      </c>
      <c r="B16" s="70" t="s">
        <v>176</v>
      </c>
      <c r="C16" s="70">
        <v>13</v>
      </c>
      <c r="D16" s="70">
        <v>20</v>
      </c>
      <c r="E16" s="70">
        <v>45</v>
      </c>
      <c r="F16" s="70">
        <v>37</v>
      </c>
      <c r="G16" s="70">
        <v>6</v>
      </c>
      <c r="H16" s="70">
        <v>17</v>
      </c>
      <c r="I16" s="70">
        <v>19</v>
      </c>
    </row>
    <row r="17" spans="1:9" ht="17.25" customHeight="1">
      <c r="A17" s="71">
        <v>43</v>
      </c>
      <c r="B17" s="70" t="s">
        <v>178</v>
      </c>
      <c r="C17" s="70">
        <v>14</v>
      </c>
      <c r="D17" s="70">
        <v>34</v>
      </c>
      <c r="E17" s="70">
        <v>47</v>
      </c>
      <c r="F17" s="70">
        <v>7</v>
      </c>
      <c r="G17" s="70">
        <v>18</v>
      </c>
      <c r="H17" s="70">
        <v>2</v>
      </c>
      <c r="I17" s="70">
        <v>40</v>
      </c>
    </row>
    <row r="18" spans="1:9" ht="17.25" customHeight="1">
      <c r="A18" s="71">
        <v>30</v>
      </c>
      <c r="B18" s="70" t="s">
        <v>182</v>
      </c>
      <c r="C18" s="70">
        <v>15</v>
      </c>
      <c r="D18" s="70">
        <v>39</v>
      </c>
      <c r="E18" s="70">
        <v>36</v>
      </c>
      <c r="F18" s="70">
        <v>1</v>
      </c>
      <c r="G18" s="70">
        <v>9</v>
      </c>
      <c r="H18" s="70">
        <v>22</v>
      </c>
      <c r="I18" s="70">
        <v>37</v>
      </c>
    </row>
    <row r="19" spans="1:9" ht="17.25" customHeight="1">
      <c r="A19" s="71">
        <v>5</v>
      </c>
      <c r="B19" s="70" t="s">
        <v>332</v>
      </c>
      <c r="C19" s="70">
        <v>16</v>
      </c>
      <c r="D19" s="70">
        <v>35</v>
      </c>
      <c r="E19" s="70">
        <v>1</v>
      </c>
      <c r="F19" s="70">
        <v>36</v>
      </c>
      <c r="G19" s="70">
        <v>24</v>
      </c>
      <c r="H19" s="70">
        <v>13</v>
      </c>
      <c r="I19" s="70">
        <v>33</v>
      </c>
    </row>
    <row r="20" spans="1:9" ht="17.25" customHeight="1">
      <c r="A20" s="71">
        <v>76</v>
      </c>
      <c r="B20" s="70" t="s">
        <v>195</v>
      </c>
      <c r="C20" s="70">
        <v>17</v>
      </c>
      <c r="D20" s="70">
        <v>28</v>
      </c>
      <c r="E20" s="70">
        <v>18</v>
      </c>
      <c r="F20" s="70">
        <v>40</v>
      </c>
      <c r="G20" s="70">
        <v>1</v>
      </c>
      <c r="H20" s="70">
        <v>19</v>
      </c>
      <c r="I20" s="70">
        <v>36</v>
      </c>
    </row>
    <row r="21" spans="1:9" ht="17.25" customHeight="1">
      <c r="A21" s="71">
        <v>29</v>
      </c>
      <c r="B21" s="70" t="s">
        <v>153</v>
      </c>
      <c r="C21" s="70">
        <v>18</v>
      </c>
      <c r="D21" s="70">
        <v>19</v>
      </c>
      <c r="E21" s="70">
        <v>7</v>
      </c>
      <c r="F21" s="70">
        <v>47</v>
      </c>
      <c r="G21" s="70">
        <v>20</v>
      </c>
      <c r="H21" s="70">
        <v>34</v>
      </c>
      <c r="I21" s="70">
        <v>13</v>
      </c>
    </row>
    <row r="22" spans="1:9" ht="17.25" customHeight="1">
      <c r="A22" s="71">
        <v>44</v>
      </c>
      <c r="B22" s="70" t="s">
        <v>190</v>
      </c>
      <c r="C22" s="70">
        <v>19</v>
      </c>
      <c r="D22" s="70">
        <v>38</v>
      </c>
      <c r="E22" s="70">
        <v>6</v>
      </c>
      <c r="F22" s="70">
        <v>29</v>
      </c>
      <c r="G22" s="70">
        <v>12</v>
      </c>
      <c r="H22" s="70">
        <v>20</v>
      </c>
      <c r="I22" s="70">
        <v>42</v>
      </c>
    </row>
    <row r="23" spans="1:9" ht="17.25" customHeight="1">
      <c r="A23" s="71">
        <v>68</v>
      </c>
      <c r="B23" s="70" t="s">
        <v>157</v>
      </c>
      <c r="C23" s="70">
        <v>20</v>
      </c>
      <c r="D23" s="70">
        <v>6</v>
      </c>
      <c r="E23" s="70">
        <v>29</v>
      </c>
      <c r="F23" s="70">
        <v>45</v>
      </c>
      <c r="G23" s="70">
        <v>23</v>
      </c>
      <c r="H23" s="70">
        <v>41</v>
      </c>
      <c r="I23" s="70">
        <v>2</v>
      </c>
    </row>
    <row r="24" spans="1:9" ht="17.25" customHeight="1">
      <c r="A24" s="71">
        <v>10</v>
      </c>
      <c r="B24" s="70" t="s">
        <v>159</v>
      </c>
      <c r="C24" s="70">
        <v>21</v>
      </c>
      <c r="D24" s="70">
        <v>4</v>
      </c>
      <c r="E24" s="70">
        <v>23</v>
      </c>
      <c r="F24" s="70">
        <v>30</v>
      </c>
      <c r="G24" s="70">
        <v>26</v>
      </c>
      <c r="H24" s="70">
        <v>27</v>
      </c>
      <c r="I24" s="70">
        <v>32</v>
      </c>
    </row>
    <row r="25" spans="1:9" ht="17.25" customHeight="1">
      <c r="A25" s="71">
        <v>22</v>
      </c>
      <c r="B25" s="70" t="s">
        <v>163</v>
      </c>
      <c r="C25" s="70">
        <v>22</v>
      </c>
      <c r="D25" s="70">
        <v>29</v>
      </c>
      <c r="E25" s="70">
        <v>12</v>
      </c>
      <c r="F25" s="70">
        <v>17</v>
      </c>
      <c r="G25" s="70">
        <v>41</v>
      </c>
      <c r="H25" s="70">
        <v>11</v>
      </c>
      <c r="I25" s="70">
        <v>29</v>
      </c>
    </row>
    <row r="26" spans="1:9" ht="17.25" customHeight="1">
      <c r="A26" s="71">
        <v>12</v>
      </c>
      <c r="B26" s="70" t="s">
        <v>184</v>
      </c>
      <c r="C26" s="70">
        <v>23</v>
      </c>
      <c r="D26" s="70">
        <v>2</v>
      </c>
      <c r="E26" s="70">
        <v>31</v>
      </c>
      <c r="F26" s="70">
        <v>44</v>
      </c>
      <c r="G26" s="70">
        <v>14</v>
      </c>
      <c r="H26" s="70">
        <v>30</v>
      </c>
      <c r="I26" s="70">
        <v>23</v>
      </c>
    </row>
    <row r="27" spans="1:9" ht="17.25" customHeight="1">
      <c r="A27" s="71">
        <v>64</v>
      </c>
      <c r="B27" s="70" t="s">
        <v>189</v>
      </c>
      <c r="C27" s="70">
        <v>24</v>
      </c>
      <c r="D27" s="70">
        <v>13</v>
      </c>
      <c r="E27" s="70">
        <v>20</v>
      </c>
      <c r="F27" s="70">
        <v>18</v>
      </c>
      <c r="G27" s="70">
        <v>7</v>
      </c>
      <c r="H27" s="70">
        <v>43</v>
      </c>
      <c r="I27" s="70">
        <v>45</v>
      </c>
    </row>
    <row r="28" spans="1:9" ht="17.25" customHeight="1">
      <c r="A28" s="71">
        <v>72</v>
      </c>
      <c r="B28" s="70" t="s">
        <v>155</v>
      </c>
      <c r="C28" s="70">
        <v>25</v>
      </c>
      <c r="D28" s="70">
        <v>14</v>
      </c>
      <c r="E28" s="70">
        <v>17</v>
      </c>
      <c r="F28" s="70">
        <v>25</v>
      </c>
      <c r="G28" s="70">
        <v>35</v>
      </c>
      <c r="H28" s="70">
        <v>6</v>
      </c>
      <c r="I28" s="70">
        <v>44</v>
      </c>
    </row>
    <row r="29" spans="1:9" ht="17.25" customHeight="1">
      <c r="A29" s="71">
        <v>65</v>
      </c>
      <c r="B29" s="70" t="s">
        <v>181</v>
      </c>
      <c r="C29" s="70">
        <v>26</v>
      </c>
      <c r="D29" s="70">
        <v>1</v>
      </c>
      <c r="E29" s="70">
        <v>40</v>
      </c>
      <c r="F29" s="70">
        <v>13</v>
      </c>
      <c r="G29" s="70">
        <v>43</v>
      </c>
      <c r="H29" s="70">
        <v>15</v>
      </c>
      <c r="I29" s="70">
        <v>27</v>
      </c>
    </row>
    <row r="30" spans="1:9" ht="17.25" customHeight="1">
      <c r="A30" s="71">
        <v>26</v>
      </c>
      <c r="B30" s="70" t="s">
        <v>329</v>
      </c>
      <c r="C30" s="70">
        <v>27</v>
      </c>
      <c r="D30" s="70">
        <v>46</v>
      </c>
      <c r="E30" s="70">
        <v>24</v>
      </c>
      <c r="F30" s="70">
        <v>35</v>
      </c>
      <c r="G30" s="70">
        <v>8</v>
      </c>
      <c r="H30" s="70">
        <v>10</v>
      </c>
      <c r="I30" s="70">
        <v>17</v>
      </c>
    </row>
    <row r="31" spans="1:9" ht="17.25" customHeight="1">
      <c r="A31" s="71">
        <v>2</v>
      </c>
      <c r="B31" s="70" t="s">
        <v>171</v>
      </c>
      <c r="C31" s="70">
        <v>28</v>
      </c>
      <c r="D31" s="70">
        <v>15</v>
      </c>
      <c r="E31" s="70">
        <v>46</v>
      </c>
      <c r="F31" s="70">
        <v>11</v>
      </c>
      <c r="G31" s="70">
        <v>28</v>
      </c>
      <c r="H31" s="70">
        <v>5</v>
      </c>
      <c r="I31" s="70">
        <v>38</v>
      </c>
    </row>
    <row r="32" spans="1:9" ht="17.25" customHeight="1">
      <c r="A32" s="71">
        <v>28</v>
      </c>
      <c r="B32" s="70" t="s">
        <v>193</v>
      </c>
      <c r="C32" s="70">
        <v>29</v>
      </c>
      <c r="D32" s="70">
        <v>43</v>
      </c>
      <c r="E32" s="70">
        <v>25</v>
      </c>
      <c r="F32" s="70">
        <v>41</v>
      </c>
      <c r="G32" s="70">
        <v>4</v>
      </c>
      <c r="H32" s="70">
        <v>9</v>
      </c>
      <c r="I32" s="70">
        <v>24</v>
      </c>
    </row>
    <row r="33" spans="1:9" ht="17.25" customHeight="1">
      <c r="A33" s="71">
        <v>11</v>
      </c>
      <c r="B33" s="70" t="s">
        <v>175</v>
      </c>
      <c r="C33" s="70">
        <v>30</v>
      </c>
      <c r="D33" s="70">
        <v>5</v>
      </c>
      <c r="E33" s="70">
        <v>41</v>
      </c>
      <c r="F33" s="70">
        <v>9</v>
      </c>
      <c r="G33" s="70">
        <v>34</v>
      </c>
      <c r="H33" s="70">
        <v>21</v>
      </c>
      <c r="I33" s="70">
        <v>35</v>
      </c>
    </row>
    <row r="34" spans="1:9" ht="17.25" customHeight="1">
      <c r="A34" s="71">
        <v>23</v>
      </c>
      <c r="B34" s="70" t="s">
        <v>150</v>
      </c>
      <c r="C34" s="70">
        <v>31</v>
      </c>
      <c r="D34" s="70">
        <v>10</v>
      </c>
      <c r="E34" s="70">
        <v>22</v>
      </c>
      <c r="F34" s="70">
        <v>31</v>
      </c>
      <c r="G34" s="70">
        <v>47</v>
      </c>
      <c r="H34" s="70">
        <v>32</v>
      </c>
      <c r="I34" s="70">
        <v>5</v>
      </c>
    </row>
    <row r="35" spans="1:9" ht="17.25" customHeight="1">
      <c r="A35" s="71">
        <v>8</v>
      </c>
      <c r="B35" s="70" t="s">
        <v>185</v>
      </c>
      <c r="C35" s="70">
        <v>32</v>
      </c>
      <c r="D35" s="70">
        <v>45</v>
      </c>
      <c r="E35" s="70">
        <v>13</v>
      </c>
      <c r="F35" s="70">
        <v>39</v>
      </c>
      <c r="G35" s="70">
        <v>2</v>
      </c>
      <c r="H35" s="70">
        <v>18</v>
      </c>
      <c r="I35" s="70">
        <v>31</v>
      </c>
    </row>
    <row r="36" spans="1:9" ht="17.25" customHeight="1">
      <c r="A36" s="71">
        <v>46</v>
      </c>
      <c r="B36" s="70" t="s">
        <v>172</v>
      </c>
      <c r="C36" s="70">
        <v>33</v>
      </c>
      <c r="D36" s="70">
        <v>22</v>
      </c>
      <c r="E36" s="70">
        <v>14</v>
      </c>
      <c r="F36" s="70">
        <v>20</v>
      </c>
      <c r="G36" s="70">
        <v>29</v>
      </c>
      <c r="H36" s="70">
        <v>46</v>
      </c>
      <c r="I36" s="70">
        <v>8</v>
      </c>
    </row>
    <row r="37" spans="1:9" ht="17.25" customHeight="1">
      <c r="A37" s="71">
        <v>27</v>
      </c>
      <c r="B37" s="70" t="s">
        <v>177</v>
      </c>
      <c r="C37" s="70">
        <v>34</v>
      </c>
      <c r="D37" s="70">
        <v>42</v>
      </c>
      <c r="E37" s="70">
        <v>9</v>
      </c>
      <c r="F37" s="70">
        <v>19</v>
      </c>
      <c r="G37" s="70">
        <v>37</v>
      </c>
      <c r="H37" s="70">
        <v>14</v>
      </c>
      <c r="I37" s="70">
        <v>26</v>
      </c>
    </row>
    <row r="38" spans="1:9" ht="17.25" customHeight="1">
      <c r="A38" s="71">
        <v>24</v>
      </c>
      <c r="B38" s="70" t="s">
        <v>160</v>
      </c>
      <c r="C38" s="70">
        <v>35</v>
      </c>
      <c r="D38" s="70">
        <v>7</v>
      </c>
      <c r="E38" s="70">
        <v>42</v>
      </c>
      <c r="F38" s="70">
        <v>2</v>
      </c>
      <c r="G38" s="70">
        <v>31</v>
      </c>
      <c r="H38" s="70">
        <v>23</v>
      </c>
      <c r="I38" s="70">
        <v>39</v>
      </c>
    </row>
    <row r="39" spans="1:9" ht="17.25" customHeight="1">
      <c r="A39" s="71">
        <v>62</v>
      </c>
      <c r="B39" s="70" t="s">
        <v>331</v>
      </c>
      <c r="C39" s="70">
        <v>36</v>
      </c>
      <c r="D39" s="70">
        <v>23</v>
      </c>
      <c r="E39" s="70">
        <v>8</v>
      </c>
      <c r="F39" s="70">
        <v>38</v>
      </c>
      <c r="G39" s="70">
        <v>44</v>
      </c>
      <c r="H39" s="70">
        <v>33</v>
      </c>
      <c r="I39" s="70">
        <v>3</v>
      </c>
    </row>
    <row r="40" spans="1:9" ht="17.25" customHeight="1">
      <c r="A40" s="71">
        <v>17</v>
      </c>
      <c r="B40" s="70" t="s">
        <v>158</v>
      </c>
      <c r="C40" s="70">
        <v>37</v>
      </c>
      <c r="D40" s="70">
        <v>33</v>
      </c>
      <c r="E40" s="70">
        <v>4</v>
      </c>
      <c r="F40" s="70">
        <v>16</v>
      </c>
      <c r="G40" s="70">
        <v>36</v>
      </c>
      <c r="H40" s="70">
        <v>47</v>
      </c>
      <c r="I40" s="70">
        <v>9</v>
      </c>
    </row>
    <row r="41" spans="1:9" ht="17.25" customHeight="1">
      <c r="A41" s="71">
        <v>42</v>
      </c>
      <c r="B41" s="70" t="s">
        <v>174</v>
      </c>
      <c r="C41" s="70">
        <v>38</v>
      </c>
      <c r="D41" s="70">
        <v>31</v>
      </c>
      <c r="E41" s="70">
        <v>37</v>
      </c>
      <c r="F41" s="70">
        <v>12</v>
      </c>
      <c r="G41" s="70">
        <v>3</v>
      </c>
      <c r="H41" s="70">
        <v>26</v>
      </c>
      <c r="I41" s="70">
        <v>34</v>
      </c>
    </row>
    <row r="42" spans="1:9" ht="17.25" customHeight="1">
      <c r="A42" s="71">
        <v>13</v>
      </c>
      <c r="B42" s="70" t="s">
        <v>156</v>
      </c>
      <c r="C42" s="70">
        <v>39</v>
      </c>
      <c r="D42" s="70">
        <v>44</v>
      </c>
      <c r="E42" s="70">
        <v>11</v>
      </c>
      <c r="F42" s="70">
        <v>28</v>
      </c>
      <c r="G42" s="70">
        <v>27</v>
      </c>
      <c r="H42" s="70">
        <v>3</v>
      </c>
      <c r="I42" s="70">
        <v>28</v>
      </c>
    </row>
    <row r="43" spans="1:9" ht="17.25" customHeight="1">
      <c r="A43" s="71">
        <v>32</v>
      </c>
      <c r="B43" s="70" t="s">
        <v>208</v>
      </c>
      <c r="C43" s="70">
        <v>40</v>
      </c>
      <c r="D43" s="70">
        <v>17</v>
      </c>
      <c r="E43" s="70">
        <v>32</v>
      </c>
      <c r="F43" s="70">
        <v>27</v>
      </c>
      <c r="G43" s="70">
        <v>5</v>
      </c>
      <c r="H43" s="70">
        <v>16</v>
      </c>
      <c r="I43" s="70">
        <v>46</v>
      </c>
    </row>
    <row r="44" spans="1:9" ht="17.25" customHeight="1">
      <c r="A44" s="71">
        <v>21</v>
      </c>
      <c r="B44" s="70" t="s">
        <v>168</v>
      </c>
      <c r="C44" s="70">
        <v>41</v>
      </c>
      <c r="D44" s="70">
        <v>32</v>
      </c>
      <c r="E44" s="70">
        <v>39</v>
      </c>
      <c r="F44" s="70">
        <v>6</v>
      </c>
      <c r="G44" s="70">
        <v>21</v>
      </c>
      <c r="H44" s="70">
        <v>8</v>
      </c>
      <c r="I44" s="70">
        <v>43</v>
      </c>
    </row>
    <row r="45" spans="1:9" ht="17.25" customHeight="1">
      <c r="A45" s="71">
        <v>66</v>
      </c>
      <c r="B45" s="70" t="s">
        <v>173</v>
      </c>
      <c r="C45" s="70">
        <v>42</v>
      </c>
      <c r="D45" s="70">
        <v>11</v>
      </c>
      <c r="E45" s="70">
        <v>35</v>
      </c>
      <c r="F45" s="70">
        <v>32</v>
      </c>
      <c r="G45" s="70">
        <v>15</v>
      </c>
      <c r="H45" s="70">
        <v>31</v>
      </c>
      <c r="I45" s="70">
        <v>21</v>
      </c>
    </row>
    <row r="46" spans="1:9" ht="17.25" customHeight="1">
      <c r="A46" s="71">
        <v>9</v>
      </c>
      <c r="B46" s="70" t="s">
        <v>167</v>
      </c>
      <c r="C46" s="70">
        <v>43</v>
      </c>
      <c r="D46" s="70">
        <v>8</v>
      </c>
      <c r="E46" s="70">
        <v>38</v>
      </c>
      <c r="F46" s="70">
        <v>5</v>
      </c>
      <c r="G46" s="70">
        <v>38</v>
      </c>
      <c r="H46" s="70">
        <v>28</v>
      </c>
      <c r="I46" s="70">
        <v>25</v>
      </c>
    </row>
    <row r="47" spans="1:9" ht="17.25" customHeight="1">
      <c r="A47" s="71">
        <v>4</v>
      </c>
      <c r="B47" s="70" t="s">
        <v>179</v>
      </c>
      <c r="C47" s="70">
        <v>44</v>
      </c>
      <c r="D47" s="70">
        <v>40</v>
      </c>
      <c r="E47" s="70">
        <v>3</v>
      </c>
      <c r="F47" s="70">
        <v>15</v>
      </c>
      <c r="G47" s="70">
        <v>42</v>
      </c>
      <c r="H47" s="70">
        <v>35</v>
      </c>
      <c r="I47" s="70">
        <v>11</v>
      </c>
    </row>
    <row r="48" spans="1:9" ht="17.25" customHeight="1">
      <c r="A48" s="71">
        <v>45</v>
      </c>
      <c r="B48" s="70" t="s">
        <v>186</v>
      </c>
      <c r="C48" s="70">
        <v>45</v>
      </c>
      <c r="D48" s="70">
        <v>41</v>
      </c>
      <c r="E48" s="70">
        <v>27</v>
      </c>
      <c r="F48" s="70">
        <v>46</v>
      </c>
      <c r="G48" s="70">
        <v>11</v>
      </c>
      <c r="H48" s="70">
        <v>4</v>
      </c>
      <c r="I48" s="70">
        <v>20</v>
      </c>
    </row>
    <row r="49" spans="1:9" ht="17.25" customHeight="1">
      <c r="A49" s="71">
        <v>69</v>
      </c>
      <c r="B49" s="70" t="s">
        <v>170</v>
      </c>
      <c r="C49" s="70">
        <v>46</v>
      </c>
      <c r="D49" s="70">
        <v>36</v>
      </c>
      <c r="E49" s="70">
        <v>34</v>
      </c>
      <c r="F49" s="70">
        <v>3</v>
      </c>
      <c r="G49" s="70">
        <v>16</v>
      </c>
      <c r="H49" s="70">
        <v>25</v>
      </c>
      <c r="I49" s="70">
        <v>30</v>
      </c>
    </row>
    <row r="50" spans="1:9" ht="17.25" customHeight="1">
      <c r="A50" s="71">
        <v>49</v>
      </c>
      <c r="B50" s="70" t="s">
        <v>328</v>
      </c>
      <c r="C50" s="70">
        <v>47</v>
      </c>
      <c r="D50" s="70">
        <v>12</v>
      </c>
      <c r="E50" s="70">
        <v>28</v>
      </c>
      <c r="F50" s="70">
        <v>21</v>
      </c>
      <c r="G50" s="70">
        <v>39</v>
      </c>
      <c r="H50" s="70">
        <v>37</v>
      </c>
      <c r="I50" s="70">
        <v>7</v>
      </c>
    </row>
  </sheetData>
  <sheetProtection password="CC71" sheet="1" objects="1" scenarios="1"/>
  <mergeCells count="4">
    <mergeCell ref="B2:B3"/>
    <mergeCell ref="A2:A3"/>
    <mergeCell ref="C2:C3"/>
    <mergeCell ref="A1:I1"/>
  </mergeCells>
  <phoneticPr fontId="2"/>
  <printOptions horizontalCentered="1"/>
  <pageMargins left="0.39370078740157483" right="0.39370078740157483" top="0.39370078740157483" bottom="0.39370078740157483"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8"/>
  </sheetPr>
  <dimension ref="A1:K40"/>
  <sheetViews>
    <sheetView zoomScaleNormal="100" workbookViewId="0"/>
  </sheetViews>
  <sheetFormatPr defaultColWidth="9" defaultRowHeight="15" customHeight="1"/>
  <cols>
    <col min="1" max="1" width="3.125" style="2" bestFit="1" customWidth="1"/>
    <col min="2" max="2" width="9.5" style="2" bestFit="1" customWidth="1"/>
    <col min="3" max="3" width="22.75" style="2" bestFit="1" customWidth="1"/>
    <col min="4" max="4" width="15" style="2" bestFit="1" customWidth="1"/>
    <col min="5" max="5" width="7.5" style="2" bestFit="1" customWidth="1"/>
    <col min="6" max="6" width="15" style="2" bestFit="1" customWidth="1"/>
    <col min="7" max="7" width="7.5" style="2" bestFit="1" customWidth="1"/>
    <col min="8" max="16384" width="9" style="2"/>
  </cols>
  <sheetData>
    <row r="1" spans="1:7" ht="15" customHeight="1">
      <c r="A1" s="2" t="s">
        <v>533</v>
      </c>
      <c r="B1" s="1" t="str">
        <f>A1&amp;IF(登!B1=19,"元",登!B1-18)&amp;"年度"</f>
        <v>令和元年度</v>
      </c>
      <c r="C1" s="1" t="s">
        <v>42</v>
      </c>
      <c r="D1" s="375" t="s">
        <v>37</v>
      </c>
      <c r="E1" s="375"/>
      <c r="F1" s="375" t="s">
        <v>38</v>
      </c>
      <c r="G1" s="375"/>
    </row>
    <row r="2" spans="1:7" ht="15" customHeight="1">
      <c r="A2" s="376" t="s">
        <v>350</v>
      </c>
      <c r="B2" s="3">
        <v>1</v>
      </c>
      <c r="C2" s="47" t="s">
        <v>141</v>
      </c>
      <c r="D2" s="57">
        <v>43573</v>
      </c>
      <c r="E2" s="42" t="str">
        <f>TEXT(D2,"aａａａ")</f>
        <v>木曜日</v>
      </c>
      <c r="F2" s="57">
        <v>43583</v>
      </c>
      <c r="G2" s="42" t="str">
        <f>TEXT(F2,"aａａａ")</f>
        <v>日曜日</v>
      </c>
    </row>
    <row r="3" spans="1:7" ht="15" customHeight="1">
      <c r="A3" s="376"/>
      <c r="B3" s="25">
        <f>B2+1</f>
        <v>2</v>
      </c>
      <c r="C3" s="50" t="s">
        <v>142</v>
      </c>
      <c r="D3" s="56">
        <f>IF(D2="","",D2)</f>
        <v>43573</v>
      </c>
      <c r="E3" s="44" t="str">
        <f t="shared" ref="E3:E10" si="0">TEXT(D3,"aａａａ")</f>
        <v>木曜日</v>
      </c>
      <c r="F3" s="58">
        <v>43582</v>
      </c>
      <c r="G3" s="44" t="str">
        <f t="shared" ref="G3:G8" si="1">TEXT(F3,"aａａａ")</f>
        <v>土曜日</v>
      </c>
    </row>
    <row r="4" spans="1:7" ht="15" customHeight="1">
      <c r="A4" s="376"/>
      <c r="B4" s="3">
        <f t="shared" ref="B4:B24" si="2">B3+1</f>
        <v>3</v>
      </c>
      <c r="C4" s="47" t="s">
        <v>114</v>
      </c>
      <c r="D4" s="57">
        <v>43573</v>
      </c>
      <c r="E4" s="42" t="str">
        <f t="shared" si="0"/>
        <v>木曜日</v>
      </c>
      <c r="F4" s="57">
        <v>43596</v>
      </c>
      <c r="G4" s="42" t="str">
        <f t="shared" si="1"/>
        <v>土曜日</v>
      </c>
    </row>
    <row r="5" spans="1:7" ht="15" customHeight="1">
      <c r="A5" s="376"/>
      <c r="B5" s="25">
        <f t="shared" si="2"/>
        <v>4</v>
      </c>
      <c r="C5" s="50" t="s">
        <v>113</v>
      </c>
      <c r="D5" s="56">
        <f>IF(D4="","",D4)</f>
        <v>43573</v>
      </c>
      <c r="E5" s="44" t="str">
        <f t="shared" si="0"/>
        <v>木曜日</v>
      </c>
      <c r="F5" s="58">
        <v>43595</v>
      </c>
      <c r="G5" s="44" t="str">
        <f t="shared" si="1"/>
        <v>金曜日</v>
      </c>
    </row>
    <row r="6" spans="1:7" ht="15" customHeight="1">
      <c r="A6" s="376"/>
      <c r="B6" s="3">
        <f t="shared" si="2"/>
        <v>5</v>
      </c>
      <c r="C6" s="47" t="s">
        <v>48</v>
      </c>
      <c r="D6" s="57">
        <v>43622</v>
      </c>
      <c r="E6" s="42" t="str">
        <f t="shared" si="0"/>
        <v>木曜日</v>
      </c>
      <c r="F6" s="57">
        <v>43631</v>
      </c>
      <c r="G6" s="42" t="str">
        <f t="shared" si="1"/>
        <v>土曜日</v>
      </c>
    </row>
    <row r="7" spans="1:7" ht="15" customHeight="1">
      <c r="A7" s="376"/>
      <c r="B7" s="25">
        <f t="shared" si="2"/>
        <v>6</v>
      </c>
      <c r="C7" s="50" t="s">
        <v>49</v>
      </c>
      <c r="D7" s="56">
        <f>IF(D6="","",D6)</f>
        <v>43622</v>
      </c>
      <c r="E7" s="44" t="str">
        <f t="shared" si="0"/>
        <v>木曜日</v>
      </c>
      <c r="F7" s="58">
        <v>43630</v>
      </c>
      <c r="G7" s="44" t="str">
        <f t="shared" si="1"/>
        <v>金曜日</v>
      </c>
    </row>
    <row r="8" spans="1:7" ht="15" customHeight="1">
      <c r="A8" s="376"/>
      <c r="B8" s="3">
        <f t="shared" si="2"/>
        <v>7</v>
      </c>
      <c r="C8" s="47" t="s">
        <v>147</v>
      </c>
      <c r="D8" s="57">
        <v>43636</v>
      </c>
      <c r="E8" s="42" t="str">
        <f t="shared" si="0"/>
        <v>木曜日</v>
      </c>
      <c r="F8" s="57">
        <v>43645</v>
      </c>
      <c r="G8" s="42" t="str">
        <f t="shared" si="1"/>
        <v>土曜日</v>
      </c>
    </row>
    <row r="9" spans="1:7" ht="15" customHeight="1">
      <c r="A9" s="376"/>
      <c r="B9" s="25">
        <f t="shared" si="2"/>
        <v>8</v>
      </c>
      <c r="C9" s="50" t="s">
        <v>148</v>
      </c>
      <c r="D9" s="56">
        <f>IF(D8="","",D8)</f>
        <v>43636</v>
      </c>
      <c r="E9" s="44" t="str">
        <f>TEXT(D9,"aａａａ")</f>
        <v>木曜日</v>
      </c>
      <c r="F9" s="58">
        <v>43645</v>
      </c>
      <c r="G9" s="44" t="str">
        <f>TEXT(F9,"aａａａ")</f>
        <v>土曜日</v>
      </c>
    </row>
    <row r="10" spans="1:7" ht="15" customHeight="1">
      <c r="A10" s="376"/>
      <c r="B10" s="26">
        <f t="shared" si="2"/>
        <v>9</v>
      </c>
      <c r="C10" s="49" t="s">
        <v>44</v>
      </c>
      <c r="D10" s="57">
        <v>43664</v>
      </c>
      <c r="E10" s="43" t="str">
        <f t="shared" si="0"/>
        <v>木曜日</v>
      </c>
      <c r="F10" s="59">
        <v>43672</v>
      </c>
      <c r="G10" s="43" t="str">
        <f t="shared" ref="E10:G16" si="3">TEXT(F10,"aａａａ")</f>
        <v>金曜日</v>
      </c>
    </row>
    <row r="11" spans="1:7" ht="15" customHeight="1">
      <c r="A11" s="376"/>
      <c r="B11" s="51">
        <f t="shared" si="2"/>
        <v>10</v>
      </c>
      <c r="C11" s="52" t="s">
        <v>43</v>
      </c>
      <c r="D11" s="56">
        <f>IF(D10="","",D10)</f>
        <v>43664</v>
      </c>
      <c r="E11" s="45" t="str">
        <f t="shared" si="3"/>
        <v>木曜日</v>
      </c>
      <c r="F11" s="60">
        <v>43671</v>
      </c>
      <c r="G11" s="45" t="str">
        <f t="shared" si="3"/>
        <v>木曜日</v>
      </c>
    </row>
    <row r="12" spans="1:7" ht="15" customHeight="1">
      <c r="A12" s="376"/>
      <c r="B12" s="1">
        <f t="shared" si="2"/>
        <v>11</v>
      </c>
      <c r="C12" s="53" t="s">
        <v>50</v>
      </c>
      <c r="D12" s="61">
        <v>43734</v>
      </c>
      <c r="E12" s="46" t="str">
        <f t="shared" si="3"/>
        <v>木曜日</v>
      </c>
      <c r="F12" s="61">
        <v>43743</v>
      </c>
      <c r="G12" s="46" t="str">
        <f t="shared" si="3"/>
        <v>土曜日</v>
      </c>
    </row>
    <row r="13" spans="1:7" ht="15" customHeight="1">
      <c r="A13" s="376"/>
      <c r="B13" s="26">
        <f t="shared" si="2"/>
        <v>12</v>
      </c>
      <c r="C13" s="49" t="s">
        <v>115</v>
      </c>
      <c r="D13" s="57">
        <v>43748</v>
      </c>
      <c r="E13" s="43" t="str">
        <f t="shared" si="3"/>
        <v>木曜日</v>
      </c>
      <c r="F13" s="59">
        <v>43758</v>
      </c>
      <c r="G13" s="43" t="str">
        <f t="shared" si="3"/>
        <v>日曜日</v>
      </c>
    </row>
    <row r="14" spans="1:7" ht="15" customHeight="1">
      <c r="A14" s="376"/>
      <c r="B14" s="51">
        <f t="shared" si="2"/>
        <v>13</v>
      </c>
      <c r="C14" s="52" t="s">
        <v>116</v>
      </c>
      <c r="D14" s="56">
        <f>IF(D13="","",D13)</f>
        <v>43748</v>
      </c>
      <c r="E14" s="45" t="str">
        <f t="shared" si="3"/>
        <v>木曜日</v>
      </c>
      <c r="F14" s="60">
        <v>43757</v>
      </c>
      <c r="G14" s="45" t="str">
        <f t="shared" si="3"/>
        <v>土曜日</v>
      </c>
    </row>
    <row r="15" spans="1:7" ht="15" customHeight="1">
      <c r="A15" s="376"/>
      <c r="B15" s="3">
        <f t="shared" si="2"/>
        <v>14</v>
      </c>
      <c r="C15" s="47" t="s">
        <v>117</v>
      </c>
      <c r="D15" s="57">
        <v>43776</v>
      </c>
      <c r="E15" s="42" t="str">
        <f t="shared" si="3"/>
        <v>木曜日</v>
      </c>
      <c r="F15" s="57">
        <v>43785</v>
      </c>
      <c r="G15" s="42" t="str">
        <f t="shared" si="3"/>
        <v>土曜日</v>
      </c>
    </row>
    <row r="16" spans="1:7" ht="15" customHeight="1">
      <c r="A16" s="376"/>
      <c r="B16" s="25">
        <f t="shared" si="2"/>
        <v>15</v>
      </c>
      <c r="C16" s="50" t="s">
        <v>118</v>
      </c>
      <c r="D16" s="56">
        <f>IF(D15="","",D15)</f>
        <v>43776</v>
      </c>
      <c r="E16" s="44" t="str">
        <f t="shared" si="3"/>
        <v>木曜日</v>
      </c>
      <c r="F16" s="58">
        <v>43785</v>
      </c>
      <c r="G16" s="44" t="str">
        <f t="shared" si="3"/>
        <v>土曜日</v>
      </c>
    </row>
    <row r="17" spans="1:7" ht="15" customHeight="1">
      <c r="A17" s="376" t="s">
        <v>351</v>
      </c>
      <c r="B17" s="3">
        <f t="shared" si="2"/>
        <v>16</v>
      </c>
      <c r="C17" s="47" t="s">
        <v>401</v>
      </c>
      <c r="D17" s="57">
        <v>43668</v>
      </c>
      <c r="E17" s="42" t="str">
        <f t="shared" ref="E17:E24" si="4">TEXT(D17,"aａａａ")</f>
        <v>月曜日</v>
      </c>
      <c r="F17" s="57">
        <v>43708</v>
      </c>
      <c r="G17" s="42" t="str">
        <f t="shared" ref="G17:G24" si="5">TEXT(F17,"aａａａ")</f>
        <v>土曜日</v>
      </c>
    </row>
    <row r="18" spans="1:7" ht="15" customHeight="1">
      <c r="A18" s="376"/>
      <c r="B18" s="25">
        <f t="shared" si="2"/>
        <v>17</v>
      </c>
      <c r="C18" s="50"/>
      <c r="D18" s="56"/>
      <c r="E18" s="44"/>
      <c r="F18" s="56"/>
      <c r="G18" s="44"/>
    </row>
    <row r="19" spans="1:7" ht="15" customHeight="1">
      <c r="A19" s="376"/>
      <c r="B19" s="1">
        <f t="shared" si="2"/>
        <v>18</v>
      </c>
      <c r="C19" s="53" t="s">
        <v>207</v>
      </c>
      <c r="D19" s="61">
        <v>43668</v>
      </c>
      <c r="E19" s="46" t="str">
        <f t="shared" si="4"/>
        <v>月曜日</v>
      </c>
      <c r="F19" s="61">
        <v>43729</v>
      </c>
      <c r="G19" s="46" t="str">
        <f t="shared" si="5"/>
        <v>土曜日</v>
      </c>
    </row>
    <row r="20" spans="1:7" ht="15" customHeight="1">
      <c r="A20" s="376"/>
      <c r="B20" s="1">
        <f t="shared" si="2"/>
        <v>19</v>
      </c>
      <c r="C20" s="54" t="s">
        <v>349</v>
      </c>
      <c r="D20" s="61">
        <v>43790</v>
      </c>
      <c r="E20" s="23" t="str">
        <f t="shared" si="4"/>
        <v>木曜日</v>
      </c>
      <c r="F20" s="61">
        <v>43833</v>
      </c>
      <c r="G20" s="23" t="str">
        <f t="shared" si="5"/>
        <v>金曜日</v>
      </c>
    </row>
    <row r="21" spans="1:7" ht="15" customHeight="1">
      <c r="A21" s="376"/>
      <c r="B21" s="3">
        <f t="shared" si="2"/>
        <v>20</v>
      </c>
      <c r="C21" s="55" t="s">
        <v>319</v>
      </c>
      <c r="D21" s="57">
        <v>43811</v>
      </c>
      <c r="E21" s="24" t="str">
        <f t="shared" si="4"/>
        <v>木曜日</v>
      </c>
      <c r="F21" s="57">
        <v>43862</v>
      </c>
      <c r="G21" s="24" t="str">
        <f t="shared" si="5"/>
        <v>土曜日</v>
      </c>
    </row>
    <row r="22" spans="1:7" ht="15" customHeight="1">
      <c r="A22" s="376"/>
      <c r="B22" s="25">
        <f t="shared" si="2"/>
        <v>21</v>
      </c>
      <c r="C22" s="48" t="s">
        <v>320</v>
      </c>
      <c r="D22" s="56">
        <f>IF(D21="","",D21)</f>
        <v>43811</v>
      </c>
      <c r="E22" s="35" t="str">
        <f t="shared" si="4"/>
        <v>木曜日</v>
      </c>
      <c r="F22" s="58">
        <v>43863</v>
      </c>
      <c r="G22" s="35" t="str">
        <f t="shared" si="5"/>
        <v>日曜日</v>
      </c>
    </row>
    <row r="23" spans="1:7" ht="15" customHeight="1">
      <c r="A23" s="376"/>
      <c r="B23" s="3">
        <f t="shared" si="2"/>
        <v>22</v>
      </c>
      <c r="C23" s="55" t="s">
        <v>347</v>
      </c>
      <c r="D23" s="57">
        <v>43839</v>
      </c>
      <c r="E23" s="24" t="str">
        <f t="shared" si="4"/>
        <v>木曜日</v>
      </c>
      <c r="F23" s="57">
        <v>43905</v>
      </c>
      <c r="G23" s="24" t="str">
        <f t="shared" si="5"/>
        <v>日曜日</v>
      </c>
    </row>
    <row r="24" spans="1:7" ht="15" customHeight="1">
      <c r="A24" s="376"/>
      <c r="B24" s="25">
        <f t="shared" si="2"/>
        <v>23</v>
      </c>
      <c r="C24" s="48" t="s">
        <v>348</v>
      </c>
      <c r="D24" s="56">
        <f>IF(D23="","",D23)</f>
        <v>43839</v>
      </c>
      <c r="E24" s="35" t="str">
        <f t="shared" si="4"/>
        <v>木曜日</v>
      </c>
      <c r="F24" s="58">
        <v>43904</v>
      </c>
      <c r="G24" s="35" t="str">
        <f t="shared" si="5"/>
        <v>土曜日</v>
      </c>
    </row>
    <row r="39" spans="2:11" ht="15" customHeight="1">
      <c r="B39" s="374"/>
      <c r="C39" s="374"/>
      <c r="D39" s="374"/>
      <c r="E39" s="374"/>
      <c r="F39" s="374"/>
      <c r="G39" s="374"/>
      <c r="H39" s="374"/>
      <c r="I39" s="374"/>
      <c r="J39" s="374"/>
      <c r="K39" s="374"/>
    </row>
    <row r="40" spans="2:11" ht="15" customHeight="1">
      <c r="B40" s="374"/>
      <c r="C40" s="374"/>
      <c r="D40" s="374"/>
      <c r="E40" s="374"/>
      <c r="F40" s="374"/>
      <c r="G40" s="374"/>
      <c r="H40" s="374"/>
      <c r="I40" s="374"/>
      <c r="J40" s="374"/>
      <c r="K40" s="374"/>
    </row>
  </sheetData>
  <sheetProtection password="CC71" sheet="1" objects="1" scenarios="1"/>
  <mergeCells count="6">
    <mergeCell ref="B39:K39"/>
    <mergeCell ref="B40:K40"/>
    <mergeCell ref="D1:E1"/>
    <mergeCell ref="F1:G1"/>
    <mergeCell ref="A2:A16"/>
    <mergeCell ref="A17:A24"/>
  </mergeCells>
  <phoneticPr fontId="2"/>
  <pageMargins left="0.75" right="0.75" top="1" bottom="1" header="0.51200000000000001" footer="0.5120000000000000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53"/>
  </sheetPr>
  <dimension ref="A1:W108"/>
  <sheetViews>
    <sheetView zoomScale="70" zoomScaleNormal="70" workbookViewId="0"/>
  </sheetViews>
  <sheetFormatPr defaultColWidth="9" defaultRowHeight="13.5"/>
  <cols>
    <col min="1" max="1" width="4.25" style="74" customWidth="1"/>
    <col min="2" max="2" width="9.125" style="82" customWidth="1"/>
    <col min="3" max="3" width="9.125" style="89" customWidth="1"/>
    <col min="4" max="4" width="9.125" style="74" customWidth="1"/>
    <col min="5" max="5" width="9.125" style="89" customWidth="1"/>
    <col min="6" max="7" width="9.125" style="75" customWidth="1"/>
    <col min="8" max="8" width="4.5" style="75" customWidth="1"/>
    <col min="9" max="9" width="9.125" style="74" customWidth="1"/>
    <col min="10" max="10" width="5.25" style="74" customWidth="1"/>
    <col min="11" max="14" width="0.75" style="74" customWidth="1"/>
    <col min="15" max="16" width="10.5" style="75" customWidth="1"/>
    <col min="17" max="17" width="1.125" style="74" customWidth="1"/>
    <col min="18" max="19" width="10.5" style="75" customWidth="1"/>
    <col min="20" max="21" width="10.5" style="74" customWidth="1"/>
    <col min="22" max="22" width="1.125" style="74" customWidth="1"/>
    <col min="23" max="23" width="11.875" style="74" customWidth="1"/>
    <col min="24" max="16384" width="9" style="74"/>
  </cols>
  <sheetData>
    <row r="1" spans="1:23">
      <c r="A1" s="260" t="s">
        <v>23</v>
      </c>
      <c r="B1" s="72">
        <v>19</v>
      </c>
      <c r="C1" s="72" t="s">
        <v>0</v>
      </c>
      <c r="D1" s="17"/>
      <c r="E1" s="72" t="s">
        <v>2</v>
      </c>
      <c r="F1" s="73" t="str">
        <f>IF(D1="","",VLOOKUP(D1,名!$B$2:$C$1000,2))</f>
        <v/>
      </c>
      <c r="G1" s="380" t="s">
        <v>140</v>
      </c>
      <c r="H1" s="381"/>
      <c r="I1" s="381"/>
      <c r="J1" s="381"/>
      <c r="K1" s="381"/>
      <c r="L1" s="381"/>
      <c r="M1" s="381"/>
      <c r="N1" s="381"/>
      <c r="O1" s="381"/>
      <c r="P1" s="381"/>
    </row>
    <row r="2" spans="1:23" s="76" customFormat="1">
      <c r="B2" s="77"/>
      <c r="C2" s="78" t="s">
        <v>135</v>
      </c>
      <c r="D2" s="265" t="s">
        <v>134</v>
      </c>
      <c r="E2" s="78"/>
      <c r="F2" s="79"/>
      <c r="G2" s="79"/>
      <c r="H2" s="79"/>
      <c r="O2" s="377" t="s">
        <v>138</v>
      </c>
      <c r="P2" s="378"/>
      <c r="R2" s="377" t="s">
        <v>139</v>
      </c>
      <c r="S2" s="379"/>
      <c r="T2" s="379"/>
      <c r="U2" s="378"/>
    </row>
    <row r="3" spans="1:23">
      <c r="A3" s="260"/>
      <c r="B3" s="80" t="s">
        <v>33</v>
      </c>
      <c r="C3" s="72" t="s">
        <v>4</v>
      </c>
      <c r="D3" s="260" t="s">
        <v>5</v>
      </c>
      <c r="E3" s="72" t="s">
        <v>6</v>
      </c>
      <c r="F3" s="260" t="s">
        <v>7</v>
      </c>
      <c r="G3" s="260" t="s">
        <v>8</v>
      </c>
      <c r="H3" s="260" t="s">
        <v>3</v>
      </c>
      <c r="I3" s="260" t="s">
        <v>9</v>
      </c>
      <c r="J3" s="260" t="s">
        <v>31</v>
      </c>
      <c r="O3" s="260" t="s">
        <v>132</v>
      </c>
      <c r="P3" s="260" t="s">
        <v>133</v>
      </c>
      <c r="R3" s="260" t="s">
        <v>143</v>
      </c>
      <c r="S3" s="260" t="s">
        <v>144</v>
      </c>
      <c r="T3" s="260" t="s">
        <v>137</v>
      </c>
      <c r="U3" s="260" t="s">
        <v>136</v>
      </c>
      <c r="W3" s="260" t="s">
        <v>192</v>
      </c>
    </row>
    <row r="4" spans="1:23">
      <c r="A4" s="260">
        <v>1</v>
      </c>
      <c r="B4" s="80" t="str">
        <f>IF(OR($D$1="",C4="",D4="",E4="",F4="",G4=""),"",VALUE($D$1&amp;IF(C4&lt;10,"0"&amp;C4,C4)&amp;D4&amp;IF(E4&lt;10,"0"&amp;E4,E4)))</f>
        <v/>
      </c>
      <c r="C4" s="17"/>
      <c r="D4" s="18"/>
      <c r="E4" s="17"/>
      <c r="F4" s="19"/>
      <c r="G4" s="19"/>
      <c r="H4" s="73" t="str">
        <f>IF(B4="","",IF(LENB(L4)+LENB(M4)&gt;=14,L4&amp;M4,IF(LENB(M4)=8,IF(LENB(L4)&lt;=6,IF(LENB(L4)=2,L4&amp;"　　",IF(LENB(L4)=4,LEFT(L4,1)&amp;"　"&amp;RIGHT(L4,1),L4)),L4),IF(LENB(L4)&lt;=6,IF(LENB(L4)=2,L4&amp;"　　　",IF(LENB(L4)=4,LEFT(L4,1)&amp;"　"&amp;RIGHT(L4,1)&amp;"　",L4&amp;"　")),L4)))&amp;IF(B4="","",IF(LENB(L4)+LENB(M4)&gt;=14,"",IF(LENB(M4)=2,"　　"&amp;M4,IF(LENB(M4)=4,LEFT(M4,1)&amp;"　"&amp;RIGHT(M4,1),M4)))))</f>
        <v/>
      </c>
      <c r="I4" s="260" t="str">
        <f>IF(B4="","",IF(COUNTIF($B$4:$B$103,B4)=1,"重複なし","重複!!番号訂正"))</f>
        <v/>
      </c>
      <c r="J4" s="260" t="str">
        <f>IF(AND($B$1=C4,D4=1),1,IF(AND($B$1=C4,D4=2),2,IF(AND($B$1-1=C4,D4=1),3,IF(AND($B$1-1=C4,D4=2),4,IF(AND($B$1-2=C4,D4=1),5,IF(AND($B$1-2=C4,D4=2),6,IF(AND($B$1-3=C4,D4=1),7,IF(D4=2,8,""))))))))</f>
        <v/>
      </c>
      <c r="L4" s="73" t="str">
        <f>TRIM(F4)</f>
        <v/>
      </c>
      <c r="M4" s="73" t="str">
        <f>TRIM(G4)</f>
        <v/>
      </c>
      <c r="O4" s="19"/>
      <c r="P4" s="19"/>
      <c r="Q4" s="266"/>
      <c r="R4" s="19"/>
      <c r="S4" s="19"/>
      <c r="T4" s="28"/>
      <c r="U4" s="29"/>
      <c r="V4" s="266"/>
      <c r="W4" s="30"/>
    </row>
    <row r="5" spans="1:23">
      <c r="A5" s="260">
        <v>2</v>
      </c>
      <c r="B5" s="80" t="str">
        <f t="shared" ref="B5:B68" si="0">IF(OR($D$1="",C5="",D5="",E5="",F5="",G5=""),"",VALUE($D$1&amp;IF(C5&lt;10,"0"&amp;C5,C5)&amp;D5&amp;IF(E5&lt;10,"0"&amp;E5,E5)))</f>
        <v/>
      </c>
      <c r="C5" s="17"/>
      <c r="D5" s="18"/>
      <c r="E5" s="17"/>
      <c r="F5" s="19"/>
      <c r="G5" s="19"/>
      <c r="H5" s="73" t="str">
        <f t="shared" ref="H5:H68" si="1">IF(B5="","",IF(LENB(L5)+LENB(M5)&gt;=14,L5&amp;M5,IF(LENB(M5)=8,IF(LENB(L5)&lt;=6,IF(LENB(L5)=2,L5&amp;"　　",IF(LENB(L5)=4,LEFT(L5,1)&amp;"　"&amp;RIGHT(L5,1),L5)),L5),IF(LENB(L5)&lt;=6,IF(LENB(L5)=2,L5&amp;"　　　",IF(LENB(L5)=4,LEFT(L5,1)&amp;"　"&amp;RIGHT(L5,1)&amp;"　",L5&amp;"　")),L5)))&amp;IF(B5="","",IF(LENB(L5)+LENB(M5)&gt;=14,"",IF(LENB(M5)=2,"　　"&amp;M5,IF(LENB(M5)=4,LEFT(M5,1)&amp;"　"&amp;RIGHT(M5,1),M5)))))</f>
        <v/>
      </c>
      <c r="I5" s="260" t="str">
        <f>IF(B5="","",IF(COUNTIF($B$4:$B$103,B5)=1,"重複なし","重複!!番号訂正"))</f>
        <v/>
      </c>
      <c r="J5" s="260" t="str">
        <f t="shared" ref="J5:J68" si="2">IF(AND($B$1=C5,D5=1),1,IF(AND($B$1=C5,D5=2),2,IF(AND($B$1-1=C5,D5=1),3,IF(AND($B$1-1=C5,D5=2),4,IF(AND($B$1-2=C5,D5=1),5,IF(AND($B$1-2=C5,D5=2),6,IF(AND($B$1-3=C5,D5=1),7,IF(D5=2,8,""))))))))</f>
        <v/>
      </c>
      <c r="L5" s="73" t="str">
        <f t="shared" ref="L5:L68" si="3">TRIM(F5)</f>
        <v/>
      </c>
      <c r="M5" s="73" t="str">
        <f t="shared" ref="M5:M68" si="4">TRIM(G5)</f>
        <v/>
      </c>
      <c r="O5" s="19"/>
      <c r="P5" s="19"/>
      <c r="Q5" s="266"/>
      <c r="R5" s="19"/>
      <c r="S5" s="19"/>
      <c r="T5" s="28"/>
      <c r="U5" s="29"/>
      <c r="V5" s="266"/>
      <c r="W5" s="30"/>
    </row>
    <row r="6" spans="1:23">
      <c r="A6" s="260">
        <v>3</v>
      </c>
      <c r="B6" s="80" t="str">
        <f t="shared" si="0"/>
        <v/>
      </c>
      <c r="C6" s="17"/>
      <c r="D6" s="18"/>
      <c r="E6" s="17"/>
      <c r="F6" s="19"/>
      <c r="G6" s="19"/>
      <c r="H6" s="73" t="str">
        <f t="shared" si="1"/>
        <v/>
      </c>
      <c r="I6" s="260" t="str">
        <f t="shared" ref="I6:I68" si="5">IF(B6="","",IF(COUNTIF($B$4:$B$103,B6)=1,"重複なし","重複!!番号訂正"))</f>
        <v/>
      </c>
      <c r="J6" s="260" t="str">
        <f t="shared" si="2"/>
        <v/>
      </c>
      <c r="L6" s="73" t="str">
        <f t="shared" si="3"/>
        <v/>
      </c>
      <c r="M6" s="73" t="str">
        <f t="shared" si="4"/>
        <v/>
      </c>
      <c r="O6" s="19"/>
      <c r="P6" s="19"/>
      <c r="Q6" s="266"/>
      <c r="R6" s="19"/>
      <c r="S6" s="19"/>
      <c r="T6" s="28"/>
      <c r="U6" s="29"/>
      <c r="V6" s="266"/>
      <c r="W6" s="30"/>
    </row>
    <row r="7" spans="1:23">
      <c r="A7" s="260">
        <v>4</v>
      </c>
      <c r="B7" s="80" t="str">
        <f t="shared" si="0"/>
        <v/>
      </c>
      <c r="C7" s="17"/>
      <c r="D7" s="18"/>
      <c r="E7" s="17"/>
      <c r="F7" s="19"/>
      <c r="G7" s="19"/>
      <c r="H7" s="73" t="str">
        <f t="shared" si="1"/>
        <v/>
      </c>
      <c r="I7" s="260" t="str">
        <f t="shared" si="5"/>
        <v/>
      </c>
      <c r="J7" s="260" t="str">
        <f t="shared" si="2"/>
        <v/>
      </c>
      <c r="L7" s="73" t="str">
        <f t="shared" si="3"/>
        <v/>
      </c>
      <c r="M7" s="73" t="str">
        <f t="shared" si="4"/>
        <v/>
      </c>
      <c r="O7" s="19"/>
      <c r="P7" s="19"/>
      <c r="Q7" s="266"/>
      <c r="R7" s="19"/>
      <c r="S7" s="19"/>
      <c r="T7" s="28"/>
      <c r="U7" s="29"/>
      <c r="V7" s="266"/>
      <c r="W7" s="30"/>
    </row>
    <row r="8" spans="1:23">
      <c r="A8" s="260">
        <v>5</v>
      </c>
      <c r="B8" s="80" t="str">
        <f t="shared" si="0"/>
        <v/>
      </c>
      <c r="C8" s="17"/>
      <c r="D8" s="18"/>
      <c r="E8" s="17"/>
      <c r="F8" s="19"/>
      <c r="G8" s="19"/>
      <c r="H8" s="73" t="str">
        <f t="shared" si="1"/>
        <v/>
      </c>
      <c r="I8" s="260" t="str">
        <f t="shared" si="5"/>
        <v/>
      </c>
      <c r="J8" s="260" t="str">
        <f t="shared" si="2"/>
        <v/>
      </c>
      <c r="L8" s="73" t="str">
        <f t="shared" si="3"/>
        <v/>
      </c>
      <c r="M8" s="73" t="str">
        <f t="shared" si="4"/>
        <v/>
      </c>
      <c r="O8" s="19"/>
      <c r="P8" s="19"/>
      <c r="Q8" s="266"/>
      <c r="R8" s="19"/>
      <c r="S8" s="19"/>
      <c r="T8" s="28"/>
      <c r="U8" s="29"/>
      <c r="V8" s="266"/>
      <c r="W8" s="30"/>
    </row>
    <row r="9" spans="1:23">
      <c r="A9" s="260">
        <v>6</v>
      </c>
      <c r="B9" s="80" t="str">
        <f t="shared" si="0"/>
        <v/>
      </c>
      <c r="C9" s="17"/>
      <c r="D9" s="18"/>
      <c r="E9" s="17"/>
      <c r="F9" s="19"/>
      <c r="G9" s="19"/>
      <c r="H9" s="73" t="str">
        <f t="shared" si="1"/>
        <v/>
      </c>
      <c r="I9" s="260" t="str">
        <f t="shared" si="5"/>
        <v/>
      </c>
      <c r="J9" s="260" t="str">
        <f t="shared" si="2"/>
        <v/>
      </c>
      <c r="L9" s="73" t="str">
        <f t="shared" si="3"/>
        <v/>
      </c>
      <c r="M9" s="73" t="str">
        <f t="shared" si="4"/>
        <v/>
      </c>
      <c r="O9" s="19"/>
      <c r="P9" s="19"/>
      <c r="Q9" s="266"/>
      <c r="R9" s="19"/>
      <c r="S9" s="19"/>
      <c r="T9" s="28"/>
      <c r="U9" s="29"/>
      <c r="V9" s="266"/>
      <c r="W9" s="30"/>
    </row>
    <row r="10" spans="1:23">
      <c r="A10" s="260">
        <v>7</v>
      </c>
      <c r="B10" s="80" t="str">
        <f t="shared" si="0"/>
        <v/>
      </c>
      <c r="C10" s="17"/>
      <c r="D10" s="18"/>
      <c r="E10" s="17"/>
      <c r="F10" s="19"/>
      <c r="G10" s="19"/>
      <c r="H10" s="73" t="str">
        <f t="shared" si="1"/>
        <v/>
      </c>
      <c r="I10" s="260" t="str">
        <f t="shared" si="5"/>
        <v/>
      </c>
      <c r="J10" s="260" t="str">
        <f t="shared" si="2"/>
        <v/>
      </c>
      <c r="L10" s="73" t="str">
        <f t="shared" si="3"/>
        <v/>
      </c>
      <c r="M10" s="73" t="str">
        <f t="shared" si="4"/>
        <v/>
      </c>
      <c r="O10" s="19"/>
      <c r="P10" s="19"/>
      <c r="Q10" s="266"/>
      <c r="R10" s="19"/>
      <c r="S10" s="19"/>
      <c r="T10" s="28"/>
      <c r="U10" s="29"/>
      <c r="V10" s="266"/>
      <c r="W10" s="30"/>
    </row>
    <row r="11" spans="1:23">
      <c r="A11" s="260">
        <v>8</v>
      </c>
      <c r="B11" s="80" t="str">
        <f t="shared" si="0"/>
        <v/>
      </c>
      <c r="C11" s="17"/>
      <c r="D11" s="18"/>
      <c r="E11" s="17"/>
      <c r="F11" s="19"/>
      <c r="G11" s="19"/>
      <c r="H11" s="73" t="str">
        <f t="shared" si="1"/>
        <v/>
      </c>
      <c r="I11" s="260" t="str">
        <f t="shared" si="5"/>
        <v/>
      </c>
      <c r="J11" s="260" t="str">
        <f t="shared" si="2"/>
        <v/>
      </c>
      <c r="L11" s="73" t="str">
        <f t="shared" si="3"/>
        <v/>
      </c>
      <c r="M11" s="73" t="str">
        <f t="shared" si="4"/>
        <v/>
      </c>
      <c r="O11" s="19"/>
      <c r="P11" s="19"/>
      <c r="Q11" s="266"/>
      <c r="R11" s="19"/>
      <c r="S11" s="19"/>
      <c r="T11" s="28"/>
      <c r="U11" s="29"/>
      <c r="V11" s="266"/>
      <c r="W11" s="30"/>
    </row>
    <row r="12" spans="1:23">
      <c r="A12" s="260">
        <v>9</v>
      </c>
      <c r="B12" s="80" t="str">
        <f t="shared" si="0"/>
        <v/>
      </c>
      <c r="C12" s="17"/>
      <c r="D12" s="18"/>
      <c r="E12" s="17"/>
      <c r="F12" s="19"/>
      <c r="G12" s="19"/>
      <c r="H12" s="73" t="str">
        <f t="shared" si="1"/>
        <v/>
      </c>
      <c r="I12" s="260" t="str">
        <f t="shared" si="5"/>
        <v/>
      </c>
      <c r="J12" s="260" t="str">
        <f t="shared" si="2"/>
        <v/>
      </c>
      <c r="L12" s="73" t="str">
        <f t="shared" si="3"/>
        <v/>
      </c>
      <c r="M12" s="73" t="str">
        <f t="shared" si="4"/>
        <v/>
      </c>
      <c r="O12" s="19"/>
      <c r="P12" s="19"/>
      <c r="Q12" s="266"/>
      <c r="R12" s="19"/>
      <c r="S12" s="19"/>
      <c r="T12" s="28"/>
      <c r="U12" s="29"/>
      <c r="V12" s="266"/>
      <c r="W12" s="30"/>
    </row>
    <row r="13" spans="1:23">
      <c r="A13" s="260">
        <v>10</v>
      </c>
      <c r="B13" s="80" t="str">
        <f t="shared" si="0"/>
        <v/>
      </c>
      <c r="C13" s="17"/>
      <c r="D13" s="18"/>
      <c r="E13" s="17"/>
      <c r="F13" s="19"/>
      <c r="G13" s="19"/>
      <c r="H13" s="73" t="str">
        <f t="shared" si="1"/>
        <v/>
      </c>
      <c r="I13" s="260" t="str">
        <f t="shared" si="5"/>
        <v/>
      </c>
      <c r="J13" s="260" t="str">
        <f t="shared" si="2"/>
        <v/>
      </c>
      <c r="L13" s="73" t="str">
        <f t="shared" si="3"/>
        <v/>
      </c>
      <c r="M13" s="73" t="str">
        <f t="shared" si="4"/>
        <v/>
      </c>
      <c r="O13" s="19"/>
      <c r="P13" s="19"/>
      <c r="Q13" s="266"/>
      <c r="R13" s="19"/>
      <c r="S13" s="19"/>
      <c r="T13" s="28"/>
      <c r="U13" s="29"/>
      <c r="V13" s="266"/>
      <c r="W13" s="30"/>
    </row>
    <row r="14" spans="1:23">
      <c r="A14" s="260">
        <v>11</v>
      </c>
      <c r="B14" s="80" t="str">
        <f t="shared" si="0"/>
        <v/>
      </c>
      <c r="C14" s="17"/>
      <c r="D14" s="18"/>
      <c r="E14" s="17"/>
      <c r="F14" s="19"/>
      <c r="G14" s="19"/>
      <c r="H14" s="73" t="str">
        <f t="shared" si="1"/>
        <v/>
      </c>
      <c r="I14" s="260" t="str">
        <f t="shared" si="5"/>
        <v/>
      </c>
      <c r="J14" s="260" t="str">
        <f t="shared" si="2"/>
        <v/>
      </c>
      <c r="L14" s="73" t="str">
        <f t="shared" si="3"/>
        <v/>
      </c>
      <c r="M14" s="73" t="str">
        <f t="shared" si="4"/>
        <v/>
      </c>
      <c r="O14" s="19"/>
      <c r="P14" s="19"/>
      <c r="Q14" s="266"/>
      <c r="R14" s="19"/>
      <c r="S14" s="19"/>
      <c r="T14" s="28"/>
      <c r="U14" s="29"/>
      <c r="V14" s="266"/>
      <c r="W14" s="30"/>
    </row>
    <row r="15" spans="1:23">
      <c r="A15" s="260">
        <v>12</v>
      </c>
      <c r="B15" s="80" t="str">
        <f t="shared" si="0"/>
        <v/>
      </c>
      <c r="C15" s="17"/>
      <c r="D15" s="18"/>
      <c r="E15" s="17"/>
      <c r="F15" s="19"/>
      <c r="G15" s="19"/>
      <c r="H15" s="73" t="str">
        <f t="shared" si="1"/>
        <v/>
      </c>
      <c r="I15" s="260" t="str">
        <f t="shared" si="5"/>
        <v/>
      </c>
      <c r="J15" s="260" t="str">
        <f t="shared" si="2"/>
        <v/>
      </c>
      <c r="L15" s="73" t="str">
        <f t="shared" si="3"/>
        <v/>
      </c>
      <c r="M15" s="73" t="str">
        <f t="shared" si="4"/>
        <v/>
      </c>
      <c r="O15" s="19"/>
      <c r="P15" s="19"/>
      <c r="Q15" s="266"/>
      <c r="R15" s="19"/>
      <c r="S15" s="19"/>
      <c r="T15" s="28"/>
      <c r="U15" s="29"/>
      <c r="V15" s="266"/>
      <c r="W15" s="30"/>
    </row>
    <row r="16" spans="1:23">
      <c r="A16" s="260">
        <v>13</v>
      </c>
      <c r="B16" s="80" t="str">
        <f t="shared" si="0"/>
        <v/>
      </c>
      <c r="C16" s="17"/>
      <c r="D16" s="18"/>
      <c r="E16" s="17"/>
      <c r="F16" s="19"/>
      <c r="G16" s="19"/>
      <c r="H16" s="73" t="str">
        <f t="shared" si="1"/>
        <v/>
      </c>
      <c r="I16" s="260" t="str">
        <f t="shared" si="5"/>
        <v/>
      </c>
      <c r="J16" s="260" t="str">
        <f t="shared" si="2"/>
        <v/>
      </c>
      <c r="L16" s="73" t="str">
        <f t="shared" si="3"/>
        <v/>
      </c>
      <c r="M16" s="73" t="str">
        <f t="shared" si="4"/>
        <v/>
      </c>
      <c r="O16" s="19"/>
      <c r="P16" s="19"/>
      <c r="Q16" s="266"/>
      <c r="R16" s="19"/>
      <c r="S16" s="19"/>
      <c r="T16" s="28"/>
      <c r="U16" s="29"/>
      <c r="V16" s="266"/>
      <c r="W16" s="30"/>
    </row>
    <row r="17" spans="1:23">
      <c r="A17" s="260">
        <v>14</v>
      </c>
      <c r="B17" s="80" t="str">
        <f t="shared" si="0"/>
        <v/>
      </c>
      <c r="C17" s="17"/>
      <c r="D17" s="18"/>
      <c r="E17" s="17"/>
      <c r="F17" s="19"/>
      <c r="G17" s="19"/>
      <c r="H17" s="73" t="str">
        <f t="shared" si="1"/>
        <v/>
      </c>
      <c r="I17" s="260" t="str">
        <f t="shared" si="5"/>
        <v/>
      </c>
      <c r="J17" s="260" t="str">
        <f t="shared" si="2"/>
        <v/>
      </c>
      <c r="L17" s="73" t="str">
        <f t="shared" si="3"/>
        <v/>
      </c>
      <c r="M17" s="73" t="str">
        <f t="shared" si="4"/>
        <v/>
      </c>
      <c r="O17" s="19"/>
      <c r="P17" s="19"/>
      <c r="Q17" s="266"/>
      <c r="R17" s="19"/>
      <c r="S17" s="19"/>
      <c r="T17" s="28"/>
      <c r="U17" s="29"/>
      <c r="V17" s="266"/>
      <c r="W17" s="30"/>
    </row>
    <row r="18" spans="1:23">
      <c r="A18" s="260">
        <v>15</v>
      </c>
      <c r="B18" s="80" t="str">
        <f t="shared" si="0"/>
        <v/>
      </c>
      <c r="C18" s="17"/>
      <c r="D18" s="18"/>
      <c r="E18" s="17"/>
      <c r="F18" s="19"/>
      <c r="G18" s="19"/>
      <c r="H18" s="73" t="str">
        <f t="shared" si="1"/>
        <v/>
      </c>
      <c r="I18" s="260" t="str">
        <f t="shared" si="5"/>
        <v/>
      </c>
      <c r="J18" s="260" t="str">
        <f t="shared" si="2"/>
        <v/>
      </c>
      <c r="L18" s="73" t="str">
        <f t="shared" si="3"/>
        <v/>
      </c>
      <c r="M18" s="73" t="str">
        <f t="shared" si="4"/>
        <v/>
      </c>
      <c r="O18" s="19"/>
      <c r="P18" s="19"/>
      <c r="Q18" s="266"/>
      <c r="R18" s="19"/>
      <c r="S18" s="19"/>
      <c r="T18" s="28"/>
      <c r="U18" s="29"/>
      <c r="V18" s="266"/>
      <c r="W18" s="30"/>
    </row>
    <row r="19" spans="1:23">
      <c r="A19" s="260">
        <v>16</v>
      </c>
      <c r="B19" s="80" t="str">
        <f t="shared" si="0"/>
        <v/>
      </c>
      <c r="C19" s="17"/>
      <c r="D19" s="18"/>
      <c r="E19" s="17"/>
      <c r="F19" s="19"/>
      <c r="G19" s="19"/>
      <c r="H19" s="73" t="str">
        <f t="shared" si="1"/>
        <v/>
      </c>
      <c r="I19" s="260" t="str">
        <f t="shared" si="5"/>
        <v/>
      </c>
      <c r="J19" s="260" t="str">
        <f t="shared" si="2"/>
        <v/>
      </c>
      <c r="L19" s="73" t="str">
        <f t="shared" si="3"/>
        <v/>
      </c>
      <c r="M19" s="73" t="str">
        <f t="shared" si="4"/>
        <v/>
      </c>
      <c r="O19" s="19"/>
      <c r="P19" s="19"/>
      <c r="Q19" s="266"/>
      <c r="R19" s="19"/>
      <c r="S19" s="19"/>
      <c r="T19" s="28"/>
      <c r="U19" s="29"/>
      <c r="V19" s="266"/>
      <c r="W19" s="30"/>
    </row>
    <row r="20" spans="1:23">
      <c r="A20" s="260">
        <v>17</v>
      </c>
      <c r="B20" s="80" t="str">
        <f t="shared" si="0"/>
        <v/>
      </c>
      <c r="C20" s="17"/>
      <c r="D20" s="18"/>
      <c r="E20" s="17"/>
      <c r="F20" s="19"/>
      <c r="G20" s="19"/>
      <c r="H20" s="73" t="str">
        <f t="shared" si="1"/>
        <v/>
      </c>
      <c r="I20" s="260" t="str">
        <f t="shared" si="5"/>
        <v/>
      </c>
      <c r="J20" s="260" t="str">
        <f t="shared" si="2"/>
        <v/>
      </c>
      <c r="L20" s="73" t="str">
        <f t="shared" si="3"/>
        <v/>
      </c>
      <c r="M20" s="73" t="str">
        <f t="shared" si="4"/>
        <v/>
      </c>
      <c r="O20" s="19"/>
      <c r="P20" s="19"/>
      <c r="Q20" s="266"/>
      <c r="R20" s="19"/>
      <c r="S20" s="19"/>
      <c r="T20" s="28"/>
      <c r="U20" s="29"/>
      <c r="V20" s="266"/>
      <c r="W20" s="30"/>
    </row>
    <row r="21" spans="1:23">
      <c r="A21" s="260">
        <v>18</v>
      </c>
      <c r="B21" s="80" t="str">
        <f t="shared" si="0"/>
        <v/>
      </c>
      <c r="C21" s="17"/>
      <c r="D21" s="18"/>
      <c r="E21" s="17"/>
      <c r="F21" s="19"/>
      <c r="G21" s="19"/>
      <c r="H21" s="73" t="str">
        <f t="shared" si="1"/>
        <v/>
      </c>
      <c r="I21" s="260" t="str">
        <f t="shared" si="5"/>
        <v/>
      </c>
      <c r="J21" s="260" t="str">
        <f t="shared" si="2"/>
        <v/>
      </c>
      <c r="L21" s="73" t="str">
        <f t="shared" si="3"/>
        <v/>
      </c>
      <c r="M21" s="73" t="str">
        <f t="shared" si="4"/>
        <v/>
      </c>
      <c r="O21" s="19"/>
      <c r="P21" s="19"/>
      <c r="Q21" s="266"/>
      <c r="R21" s="19"/>
      <c r="S21" s="19"/>
      <c r="T21" s="28"/>
      <c r="U21" s="29"/>
      <c r="V21" s="266"/>
      <c r="W21" s="30"/>
    </row>
    <row r="22" spans="1:23">
      <c r="A22" s="260">
        <v>19</v>
      </c>
      <c r="B22" s="80" t="str">
        <f t="shared" si="0"/>
        <v/>
      </c>
      <c r="C22" s="17"/>
      <c r="D22" s="18"/>
      <c r="E22" s="17"/>
      <c r="F22" s="19"/>
      <c r="G22" s="19"/>
      <c r="H22" s="73" t="str">
        <f t="shared" si="1"/>
        <v/>
      </c>
      <c r="I22" s="260" t="str">
        <f t="shared" si="5"/>
        <v/>
      </c>
      <c r="J22" s="260" t="str">
        <f t="shared" si="2"/>
        <v/>
      </c>
      <c r="L22" s="73" t="str">
        <f t="shared" si="3"/>
        <v/>
      </c>
      <c r="M22" s="73" t="str">
        <f t="shared" si="4"/>
        <v/>
      </c>
      <c r="O22" s="19"/>
      <c r="P22" s="19"/>
      <c r="Q22" s="266"/>
      <c r="R22" s="19"/>
      <c r="S22" s="19"/>
      <c r="T22" s="28"/>
      <c r="U22" s="29"/>
      <c r="V22" s="266"/>
      <c r="W22" s="30"/>
    </row>
    <row r="23" spans="1:23">
      <c r="A23" s="260">
        <v>20</v>
      </c>
      <c r="B23" s="80" t="str">
        <f t="shared" si="0"/>
        <v/>
      </c>
      <c r="C23" s="17"/>
      <c r="D23" s="18"/>
      <c r="E23" s="17"/>
      <c r="F23" s="19"/>
      <c r="G23" s="19"/>
      <c r="H23" s="73" t="str">
        <f t="shared" si="1"/>
        <v/>
      </c>
      <c r="I23" s="260" t="str">
        <f t="shared" si="5"/>
        <v/>
      </c>
      <c r="J23" s="260" t="str">
        <f t="shared" si="2"/>
        <v/>
      </c>
      <c r="L23" s="73" t="str">
        <f t="shared" si="3"/>
        <v/>
      </c>
      <c r="M23" s="73" t="str">
        <f t="shared" si="4"/>
        <v/>
      </c>
      <c r="O23" s="19"/>
      <c r="P23" s="19"/>
      <c r="Q23" s="266"/>
      <c r="R23" s="19"/>
      <c r="S23" s="19"/>
      <c r="T23" s="28"/>
      <c r="U23" s="29"/>
      <c r="V23" s="266"/>
      <c r="W23" s="30"/>
    </row>
    <row r="24" spans="1:23">
      <c r="A24" s="260">
        <v>21</v>
      </c>
      <c r="B24" s="80" t="str">
        <f t="shared" si="0"/>
        <v/>
      </c>
      <c r="C24" s="17"/>
      <c r="D24" s="18"/>
      <c r="E24" s="17"/>
      <c r="F24" s="19"/>
      <c r="G24" s="19"/>
      <c r="H24" s="73" t="str">
        <f t="shared" si="1"/>
        <v/>
      </c>
      <c r="I24" s="260" t="str">
        <f t="shared" si="5"/>
        <v/>
      </c>
      <c r="J24" s="260" t="str">
        <f t="shared" si="2"/>
        <v/>
      </c>
      <c r="L24" s="73" t="str">
        <f t="shared" si="3"/>
        <v/>
      </c>
      <c r="M24" s="73" t="str">
        <f t="shared" si="4"/>
        <v/>
      </c>
      <c r="O24" s="19"/>
      <c r="P24" s="19"/>
      <c r="Q24" s="266"/>
      <c r="R24" s="19"/>
      <c r="S24" s="19"/>
      <c r="T24" s="28"/>
      <c r="U24" s="29"/>
      <c r="V24" s="266"/>
      <c r="W24" s="30"/>
    </row>
    <row r="25" spans="1:23">
      <c r="A25" s="260">
        <v>22</v>
      </c>
      <c r="B25" s="80" t="str">
        <f t="shared" si="0"/>
        <v/>
      </c>
      <c r="C25" s="17"/>
      <c r="D25" s="18"/>
      <c r="E25" s="17"/>
      <c r="F25" s="19"/>
      <c r="G25" s="19"/>
      <c r="H25" s="73" t="str">
        <f t="shared" si="1"/>
        <v/>
      </c>
      <c r="I25" s="260" t="str">
        <f t="shared" si="5"/>
        <v/>
      </c>
      <c r="J25" s="260" t="str">
        <f t="shared" si="2"/>
        <v/>
      </c>
      <c r="L25" s="73" t="str">
        <f t="shared" si="3"/>
        <v/>
      </c>
      <c r="M25" s="73" t="str">
        <f t="shared" si="4"/>
        <v/>
      </c>
      <c r="O25" s="19"/>
      <c r="P25" s="19"/>
      <c r="Q25" s="266"/>
      <c r="R25" s="19"/>
      <c r="S25" s="19"/>
      <c r="T25" s="28"/>
      <c r="U25" s="29"/>
      <c r="V25" s="266"/>
      <c r="W25" s="30"/>
    </row>
    <row r="26" spans="1:23">
      <c r="A26" s="260">
        <v>23</v>
      </c>
      <c r="B26" s="80" t="str">
        <f t="shared" si="0"/>
        <v/>
      </c>
      <c r="C26" s="17"/>
      <c r="D26" s="18"/>
      <c r="E26" s="17"/>
      <c r="F26" s="19"/>
      <c r="G26" s="19"/>
      <c r="H26" s="73" t="str">
        <f t="shared" si="1"/>
        <v/>
      </c>
      <c r="I26" s="260" t="str">
        <f t="shared" si="5"/>
        <v/>
      </c>
      <c r="J26" s="260" t="str">
        <f t="shared" si="2"/>
        <v/>
      </c>
      <c r="L26" s="73" t="str">
        <f t="shared" si="3"/>
        <v/>
      </c>
      <c r="M26" s="73" t="str">
        <f t="shared" si="4"/>
        <v/>
      </c>
      <c r="O26" s="19"/>
      <c r="P26" s="19"/>
      <c r="Q26" s="266"/>
      <c r="R26" s="19"/>
      <c r="S26" s="19"/>
      <c r="T26" s="28"/>
      <c r="U26" s="29"/>
      <c r="V26" s="266"/>
      <c r="W26" s="30"/>
    </row>
    <row r="27" spans="1:23">
      <c r="A27" s="260">
        <v>24</v>
      </c>
      <c r="B27" s="80" t="str">
        <f t="shared" si="0"/>
        <v/>
      </c>
      <c r="C27" s="17"/>
      <c r="D27" s="18"/>
      <c r="E27" s="17"/>
      <c r="F27" s="19"/>
      <c r="G27" s="19"/>
      <c r="H27" s="73" t="str">
        <f t="shared" si="1"/>
        <v/>
      </c>
      <c r="I27" s="260" t="str">
        <f t="shared" si="5"/>
        <v/>
      </c>
      <c r="J27" s="260" t="str">
        <f t="shared" si="2"/>
        <v/>
      </c>
      <c r="L27" s="73" t="str">
        <f t="shared" si="3"/>
        <v/>
      </c>
      <c r="M27" s="73" t="str">
        <f t="shared" si="4"/>
        <v/>
      </c>
      <c r="O27" s="19"/>
      <c r="P27" s="19"/>
      <c r="Q27" s="266"/>
      <c r="R27" s="19"/>
      <c r="S27" s="19"/>
      <c r="T27" s="28"/>
      <c r="U27" s="29"/>
      <c r="V27" s="266"/>
      <c r="W27" s="30"/>
    </row>
    <row r="28" spans="1:23">
      <c r="A28" s="260">
        <v>25</v>
      </c>
      <c r="B28" s="80" t="str">
        <f t="shared" si="0"/>
        <v/>
      </c>
      <c r="C28" s="17"/>
      <c r="D28" s="18"/>
      <c r="E28" s="17"/>
      <c r="F28" s="19"/>
      <c r="G28" s="19"/>
      <c r="H28" s="73" t="str">
        <f t="shared" si="1"/>
        <v/>
      </c>
      <c r="I28" s="260" t="str">
        <f t="shared" si="5"/>
        <v/>
      </c>
      <c r="J28" s="260" t="str">
        <f t="shared" si="2"/>
        <v/>
      </c>
      <c r="L28" s="73" t="str">
        <f t="shared" si="3"/>
        <v/>
      </c>
      <c r="M28" s="73" t="str">
        <f t="shared" si="4"/>
        <v/>
      </c>
      <c r="O28" s="19"/>
      <c r="P28" s="19"/>
      <c r="Q28" s="266"/>
      <c r="R28" s="19"/>
      <c r="S28" s="19"/>
      <c r="T28" s="28"/>
      <c r="U28" s="29"/>
      <c r="V28" s="266"/>
      <c r="W28" s="30"/>
    </row>
    <row r="29" spans="1:23">
      <c r="A29" s="260">
        <v>26</v>
      </c>
      <c r="B29" s="80" t="str">
        <f t="shared" si="0"/>
        <v/>
      </c>
      <c r="C29" s="17"/>
      <c r="D29" s="18"/>
      <c r="E29" s="17"/>
      <c r="F29" s="19"/>
      <c r="G29" s="19"/>
      <c r="H29" s="73" t="str">
        <f t="shared" si="1"/>
        <v/>
      </c>
      <c r="I29" s="260" t="str">
        <f t="shared" si="5"/>
        <v/>
      </c>
      <c r="J29" s="260" t="str">
        <f t="shared" si="2"/>
        <v/>
      </c>
      <c r="L29" s="73" t="str">
        <f t="shared" si="3"/>
        <v/>
      </c>
      <c r="M29" s="73" t="str">
        <f t="shared" si="4"/>
        <v/>
      </c>
      <c r="O29" s="19"/>
      <c r="P29" s="19"/>
      <c r="Q29" s="266"/>
      <c r="R29" s="19"/>
      <c r="S29" s="19"/>
      <c r="T29" s="28"/>
      <c r="U29" s="29"/>
      <c r="V29" s="266"/>
      <c r="W29" s="30"/>
    </row>
    <row r="30" spans="1:23">
      <c r="A30" s="260">
        <v>27</v>
      </c>
      <c r="B30" s="80" t="str">
        <f t="shared" si="0"/>
        <v/>
      </c>
      <c r="C30" s="17"/>
      <c r="D30" s="18"/>
      <c r="E30" s="17"/>
      <c r="F30" s="19"/>
      <c r="G30" s="19"/>
      <c r="H30" s="73" t="str">
        <f t="shared" si="1"/>
        <v/>
      </c>
      <c r="I30" s="260" t="str">
        <f t="shared" si="5"/>
        <v/>
      </c>
      <c r="J30" s="260" t="str">
        <f t="shared" si="2"/>
        <v/>
      </c>
      <c r="L30" s="73" t="str">
        <f t="shared" si="3"/>
        <v/>
      </c>
      <c r="M30" s="73" t="str">
        <f t="shared" si="4"/>
        <v/>
      </c>
      <c r="O30" s="19"/>
      <c r="P30" s="19"/>
      <c r="Q30" s="266"/>
      <c r="R30" s="19"/>
      <c r="S30" s="19"/>
      <c r="T30" s="28"/>
      <c r="U30" s="29"/>
      <c r="V30" s="266"/>
      <c r="W30" s="30"/>
    </row>
    <row r="31" spans="1:23">
      <c r="A31" s="260">
        <v>28</v>
      </c>
      <c r="B31" s="80" t="str">
        <f t="shared" si="0"/>
        <v/>
      </c>
      <c r="C31" s="17"/>
      <c r="D31" s="18"/>
      <c r="E31" s="17"/>
      <c r="F31" s="19"/>
      <c r="G31" s="19"/>
      <c r="H31" s="73" t="str">
        <f t="shared" si="1"/>
        <v/>
      </c>
      <c r="I31" s="260" t="str">
        <f t="shared" si="5"/>
        <v/>
      </c>
      <c r="J31" s="260" t="str">
        <f t="shared" si="2"/>
        <v/>
      </c>
      <c r="L31" s="73" t="str">
        <f t="shared" si="3"/>
        <v/>
      </c>
      <c r="M31" s="73" t="str">
        <f t="shared" si="4"/>
        <v/>
      </c>
      <c r="O31" s="19"/>
      <c r="P31" s="19"/>
      <c r="Q31" s="266"/>
      <c r="R31" s="19"/>
      <c r="S31" s="19"/>
      <c r="T31" s="28"/>
      <c r="U31" s="29"/>
      <c r="V31" s="266"/>
      <c r="W31" s="30"/>
    </row>
    <row r="32" spans="1:23">
      <c r="A32" s="260">
        <v>29</v>
      </c>
      <c r="B32" s="80" t="str">
        <f t="shared" si="0"/>
        <v/>
      </c>
      <c r="C32" s="17"/>
      <c r="D32" s="18"/>
      <c r="E32" s="17"/>
      <c r="F32" s="19"/>
      <c r="G32" s="19"/>
      <c r="H32" s="73" t="str">
        <f t="shared" si="1"/>
        <v/>
      </c>
      <c r="I32" s="260" t="str">
        <f t="shared" si="5"/>
        <v/>
      </c>
      <c r="J32" s="260" t="str">
        <f t="shared" si="2"/>
        <v/>
      </c>
      <c r="L32" s="73" t="str">
        <f t="shared" si="3"/>
        <v/>
      </c>
      <c r="M32" s="73" t="str">
        <f t="shared" si="4"/>
        <v/>
      </c>
      <c r="O32" s="19"/>
      <c r="P32" s="19"/>
      <c r="Q32" s="266"/>
      <c r="R32" s="19"/>
      <c r="S32" s="19"/>
      <c r="T32" s="28"/>
      <c r="U32" s="29"/>
      <c r="V32" s="266"/>
      <c r="W32" s="30"/>
    </row>
    <row r="33" spans="1:23">
      <c r="A33" s="260">
        <v>30</v>
      </c>
      <c r="B33" s="80" t="str">
        <f t="shared" si="0"/>
        <v/>
      </c>
      <c r="C33" s="17"/>
      <c r="D33" s="18"/>
      <c r="E33" s="17"/>
      <c r="F33" s="19"/>
      <c r="G33" s="19"/>
      <c r="H33" s="73" t="str">
        <f t="shared" si="1"/>
        <v/>
      </c>
      <c r="I33" s="260" t="str">
        <f t="shared" si="5"/>
        <v/>
      </c>
      <c r="J33" s="260" t="str">
        <f t="shared" si="2"/>
        <v/>
      </c>
      <c r="L33" s="73" t="str">
        <f t="shared" si="3"/>
        <v/>
      </c>
      <c r="M33" s="73" t="str">
        <f t="shared" si="4"/>
        <v/>
      </c>
      <c r="O33" s="19"/>
      <c r="P33" s="19"/>
      <c r="Q33" s="266"/>
      <c r="R33" s="19"/>
      <c r="S33" s="19"/>
      <c r="T33" s="28"/>
      <c r="U33" s="29"/>
      <c r="V33" s="266"/>
      <c r="W33" s="30"/>
    </row>
    <row r="34" spans="1:23">
      <c r="A34" s="260">
        <v>31</v>
      </c>
      <c r="B34" s="80" t="str">
        <f t="shared" si="0"/>
        <v/>
      </c>
      <c r="C34" s="17"/>
      <c r="D34" s="18"/>
      <c r="E34" s="17"/>
      <c r="F34" s="19"/>
      <c r="G34" s="19"/>
      <c r="H34" s="73" t="str">
        <f t="shared" si="1"/>
        <v/>
      </c>
      <c r="I34" s="260" t="str">
        <f t="shared" si="5"/>
        <v/>
      </c>
      <c r="J34" s="260" t="str">
        <f t="shared" si="2"/>
        <v/>
      </c>
      <c r="L34" s="73" t="str">
        <f t="shared" si="3"/>
        <v/>
      </c>
      <c r="M34" s="73" t="str">
        <f t="shared" si="4"/>
        <v/>
      </c>
      <c r="O34" s="19"/>
      <c r="P34" s="19"/>
      <c r="Q34" s="266"/>
      <c r="R34" s="19"/>
      <c r="S34" s="19"/>
      <c r="T34" s="28"/>
      <c r="U34" s="29"/>
      <c r="V34" s="266"/>
      <c r="W34" s="30"/>
    </row>
    <row r="35" spans="1:23">
      <c r="A35" s="260">
        <v>32</v>
      </c>
      <c r="B35" s="80" t="str">
        <f t="shared" si="0"/>
        <v/>
      </c>
      <c r="C35" s="17"/>
      <c r="D35" s="18"/>
      <c r="E35" s="17"/>
      <c r="F35" s="19"/>
      <c r="G35" s="19"/>
      <c r="H35" s="73" t="str">
        <f t="shared" si="1"/>
        <v/>
      </c>
      <c r="I35" s="260" t="str">
        <f t="shared" si="5"/>
        <v/>
      </c>
      <c r="J35" s="260" t="str">
        <f t="shared" si="2"/>
        <v/>
      </c>
      <c r="L35" s="73" t="str">
        <f t="shared" si="3"/>
        <v/>
      </c>
      <c r="M35" s="73" t="str">
        <f t="shared" si="4"/>
        <v/>
      </c>
      <c r="O35" s="19"/>
      <c r="P35" s="19"/>
      <c r="Q35" s="266"/>
      <c r="R35" s="19"/>
      <c r="S35" s="19"/>
      <c r="T35" s="28"/>
      <c r="U35" s="29"/>
      <c r="V35" s="266"/>
      <c r="W35" s="30"/>
    </row>
    <row r="36" spans="1:23">
      <c r="A36" s="260">
        <v>33</v>
      </c>
      <c r="B36" s="80" t="str">
        <f t="shared" si="0"/>
        <v/>
      </c>
      <c r="C36" s="17"/>
      <c r="D36" s="18"/>
      <c r="E36" s="17"/>
      <c r="F36" s="19"/>
      <c r="G36" s="19"/>
      <c r="H36" s="73" t="str">
        <f t="shared" si="1"/>
        <v/>
      </c>
      <c r="I36" s="260" t="str">
        <f t="shared" si="5"/>
        <v/>
      </c>
      <c r="J36" s="260" t="str">
        <f t="shared" si="2"/>
        <v/>
      </c>
      <c r="L36" s="73" t="str">
        <f t="shared" si="3"/>
        <v/>
      </c>
      <c r="M36" s="73" t="str">
        <f t="shared" si="4"/>
        <v/>
      </c>
      <c r="O36" s="19"/>
      <c r="P36" s="19"/>
      <c r="Q36" s="266"/>
      <c r="R36" s="19"/>
      <c r="S36" s="19"/>
      <c r="T36" s="28"/>
      <c r="U36" s="29"/>
      <c r="V36" s="266"/>
      <c r="W36" s="30"/>
    </row>
    <row r="37" spans="1:23">
      <c r="A37" s="260">
        <v>34</v>
      </c>
      <c r="B37" s="80" t="str">
        <f t="shared" si="0"/>
        <v/>
      </c>
      <c r="C37" s="17"/>
      <c r="D37" s="18"/>
      <c r="E37" s="17"/>
      <c r="F37" s="19"/>
      <c r="G37" s="19"/>
      <c r="H37" s="73" t="str">
        <f t="shared" si="1"/>
        <v/>
      </c>
      <c r="I37" s="260" t="str">
        <f t="shared" si="5"/>
        <v/>
      </c>
      <c r="J37" s="260" t="str">
        <f t="shared" si="2"/>
        <v/>
      </c>
      <c r="L37" s="73" t="str">
        <f t="shared" si="3"/>
        <v/>
      </c>
      <c r="M37" s="73" t="str">
        <f t="shared" si="4"/>
        <v/>
      </c>
      <c r="O37" s="19"/>
      <c r="P37" s="19"/>
      <c r="Q37" s="266"/>
      <c r="R37" s="19"/>
      <c r="S37" s="19"/>
      <c r="T37" s="28"/>
      <c r="U37" s="29"/>
      <c r="V37" s="266"/>
      <c r="W37" s="30"/>
    </row>
    <row r="38" spans="1:23">
      <c r="A38" s="260">
        <v>35</v>
      </c>
      <c r="B38" s="80" t="str">
        <f>IF(OR($D$1="",C38="",D38="",E38="",F38="",G38=""),"",VALUE($D$1&amp;IF(C38&lt;10,"0"&amp;C38,C38)&amp;D38&amp;IF(E38&lt;10,"0"&amp;E38,E38)))</f>
        <v/>
      </c>
      <c r="C38" s="17"/>
      <c r="D38" s="18"/>
      <c r="E38" s="17"/>
      <c r="F38" s="19"/>
      <c r="G38" s="19"/>
      <c r="H38" s="73" t="str">
        <f t="shared" si="1"/>
        <v/>
      </c>
      <c r="I38" s="260" t="str">
        <f t="shared" si="5"/>
        <v/>
      </c>
      <c r="J38" s="260" t="str">
        <f t="shared" si="2"/>
        <v/>
      </c>
      <c r="L38" s="73" t="str">
        <f t="shared" si="3"/>
        <v/>
      </c>
      <c r="M38" s="73" t="str">
        <f t="shared" si="4"/>
        <v/>
      </c>
      <c r="O38" s="19"/>
      <c r="P38" s="19"/>
      <c r="Q38" s="266"/>
      <c r="R38" s="19"/>
      <c r="S38" s="19"/>
      <c r="T38" s="28"/>
      <c r="U38" s="29"/>
      <c r="V38" s="266"/>
      <c r="W38" s="30"/>
    </row>
    <row r="39" spans="1:23">
      <c r="A39" s="260">
        <v>36</v>
      </c>
      <c r="B39" s="80" t="str">
        <f t="shared" si="0"/>
        <v/>
      </c>
      <c r="C39" s="17"/>
      <c r="D39" s="18"/>
      <c r="E39" s="17"/>
      <c r="F39" s="19"/>
      <c r="G39" s="19"/>
      <c r="H39" s="73" t="str">
        <f t="shared" si="1"/>
        <v/>
      </c>
      <c r="I39" s="260" t="str">
        <f t="shared" si="5"/>
        <v/>
      </c>
      <c r="J39" s="260" t="str">
        <f t="shared" si="2"/>
        <v/>
      </c>
      <c r="L39" s="73" t="str">
        <f t="shared" si="3"/>
        <v/>
      </c>
      <c r="M39" s="73" t="str">
        <f t="shared" si="4"/>
        <v/>
      </c>
      <c r="O39" s="19"/>
      <c r="P39" s="19"/>
      <c r="Q39" s="266"/>
      <c r="R39" s="19"/>
      <c r="S39" s="19"/>
      <c r="T39" s="28"/>
      <c r="U39" s="29"/>
      <c r="V39" s="266"/>
      <c r="W39" s="30"/>
    </row>
    <row r="40" spans="1:23">
      <c r="A40" s="260">
        <v>37</v>
      </c>
      <c r="B40" s="80" t="str">
        <f t="shared" si="0"/>
        <v/>
      </c>
      <c r="C40" s="17"/>
      <c r="D40" s="18"/>
      <c r="E40" s="17"/>
      <c r="F40" s="19"/>
      <c r="G40" s="19"/>
      <c r="H40" s="73" t="str">
        <f t="shared" si="1"/>
        <v/>
      </c>
      <c r="I40" s="260" t="str">
        <f t="shared" si="5"/>
        <v/>
      </c>
      <c r="J40" s="260" t="str">
        <f t="shared" si="2"/>
        <v/>
      </c>
      <c r="L40" s="73" t="str">
        <f t="shared" si="3"/>
        <v/>
      </c>
      <c r="M40" s="73" t="str">
        <f t="shared" si="4"/>
        <v/>
      </c>
      <c r="O40" s="19"/>
      <c r="P40" s="19"/>
      <c r="Q40" s="266"/>
      <c r="R40" s="19"/>
      <c r="S40" s="19"/>
      <c r="T40" s="28"/>
      <c r="U40" s="29"/>
      <c r="V40" s="266"/>
      <c r="W40" s="30"/>
    </row>
    <row r="41" spans="1:23">
      <c r="A41" s="260">
        <v>38</v>
      </c>
      <c r="B41" s="80" t="str">
        <f t="shared" si="0"/>
        <v/>
      </c>
      <c r="C41" s="17"/>
      <c r="D41" s="18"/>
      <c r="E41" s="17"/>
      <c r="F41" s="19"/>
      <c r="G41" s="19"/>
      <c r="H41" s="73" t="str">
        <f t="shared" si="1"/>
        <v/>
      </c>
      <c r="I41" s="260" t="str">
        <f t="shared" si="5"/>
        <v/>
      </c>
      <c r="J41" s="260" t="str">
        <f t="shared" si="2"/>
        <v/>
      </c>
      <c r="L41" s="73" t="str">
        <f t="shared" si="3"/>
        <v/>
      </c>
      <c r="M41" s="73" t="str">
        <f t="shared" si="4"/>
        <v/>
      </c>
      <c r="O41" s="19"/>
      <c r="P41" s="19"/>
      <c r="Q41" s="266"/>
      <c r="R41" s="19"/>
      <c r="S41" s="19"/>
      <c r="T41" s="28"/>
      <c r="U41" s="29"/>
      <c r="V41" s="266"/>
      <c r="W41" s="30"/>
    </row>
    <row r="42" spans="1:23">
      <c r="A42" s="260">
        <v>39</v>
      </c>
      <c r="B42" s="80" t="str">
        <f t="shared" si="0"/>
        <v/>
      </c>
      <c r="C42" s="17"/>
      <c r="D42" s="18"/>
      <c r="E42" s="17"/>
      <c r="F42" s="19"/>
      <c r="G42" s="19"/>
      <c r="H42" s="73" t="str">
        <f t="shared" si="1"/>
        <v/>
      </c>
      <c r="I42" s="260" t="str">
        <f t="shared" si="5"/>
        <v/>
      </c>
      <c r="J42" s="260" t="str">
        <f t="shared" si="2"/>
        <v/>
      </c>
      <c r="L42" s="73" t="str">
        <f t="shared" si="3"/>
        <v/>
      </c>
      <c r="M42" s="73" t="str">
        <f t="shared" si="4"/>
        <v/>
      </c>
      <c r="O42" s="19"/>
      <c r="P42" s="19"/>
      <c r="Q42" s="266"/>
      <c r="R42" s="19"/>
      <c r="S42" s="19"/>
      <c r="T42" s="28"/>
      <c r="U42" s="29"/>
      <c r="V42" s="266"/>
      <c r="W42" s="30"/>
    </row>
    <row r="43" spans="1:23">
      <c r="A43" s="260">
        <v>40</v>
      </c>
      <c r="B43" s="80" t="str">
        <f t="shared" si="0"/>
        <v/>
      </c>
      <c r="C43" s="17"/>
      <c r="D43" s="18"/>
      <c r="E43" s="17"/>
      <c r="F43" s="19"/>
      <c r="G43" s="19"/>
      <c r="H43" s="73" t="str">
        <f t="shared" si="1"/>
        <v/>
      </c>
      <c r="I43" s="260" t="str">
        <f t="shared" si="5"/>
        <v/>
      </c>
      <c r="J43" s="260" t="str">
        <f t="shared" si="2"/>
        <v/>
      </c>
      <c r="L43" s="73" t="str">
        <f t="shared" si="3"/>
        <v/>
      </c>
      <c r="M43" s="73" t="str">
        <f t="shared" si="4"/>
        <v/>
      </c>
      <c r="O43" s="19"/>
      <c r="P43" s="19"/>
      <c r="Q43" s="266"/>
      <c r="R43" s="19"/>
      <c r="S43" s="19"/>
      <c r="T43" s="28"/>
      <c r="U43" s="29"/>
      <c r="V43" s="266"/>
      <c r="W43" s="30"/>
    </row>
    <row r="44" spans="1:23">
      <c r="A44" s="260">
        <v>41</v>
      </c>
      <c r="B44" s="80" t="str">
        <f t="shared" si="0"/>
        <v/>
      </c>
      <c r="C44" s="17"/>
      <c r="D44" s="18"/>
      <c r="E44" s="17"/>
      <c r="F44" s="19"/>
      <c r="G44" s="19"/>
      <c r="H44" s="73" t="str">
        <f t="shared" si="1"/>
        <v/>
      </c>
      <c r="I44" s="260" t="str">
        <f t="shared" si="5"/>
        <v/>
      </c>
      <c r="J44" s="260" t="str">
        <f t="shared" si="2"/>
        <v/>
      </c>
      <c r="L44" s="73" t="str">
        <f t="shared" si="3"/>
        <v/>
      </c>
      <c r="M44" s="73" t="str">
        <f t="shared" si="4"/>
        <v/>
      </c>
      <c r="O44" s="19"/>
      <c r="P44" s="19"/>
      <c r="Q44" s="266"/>
      <c r="R44" s="19"/>
      <c r="S44" s="19"/>
      <c r="T44" s="28"/>
      <c r="U44" s="29"/>
      <c r="V44" s="266"/>
      <c r="W44" s="30"/>
    </row>
    <row r="45" spans="1:23">
      <c r="A45" s="260">
        <v>42</v>
      </c>
      <c r="B45" s="80" t="str">
        <f t="shared" si="0"/>
        <v/>
      </c>
      <c r="C45" s="17"/>
      <c r="D45" s="18"/>
      <c r="E45" s="17"/>
      <c r="F45" s="19"/>
      <c r="G45" s="19"/>
      <c r="H45" s="73" t="str">
        <f t="shared" si="1"/>
        <v/>
      </c>
      <c r="I45" s="260" t="str">
        <f t="shared" si="5"/>
        <v/>
      </c>
      <c r="J45" s="260" t="str">
        <f t="shared" si="2"/>
        <v/>
      </c>
      <c r="L45" s="73" t="str">
        <f t="shared" si="3"/>
        <v/>
      </c>
      <c r="M45" s="73" t="str">
        <f t="shared" si="4"/>
        <v/>
      </c>
      <c r="O45" s="19"/>
      <c r="P45" s="19"/>
      <c r="Q45" s="266"/>
      <c r="R45" s="19"/>
      <c r="S45" s="19"/>
      <c r="T45" s="28"/>
      <c r="U45" s="29"/>
      <c r="V45" s="266"/>
      <c r="W45" s="30"/>
    </row>
    <row r="46" spans="1:23">
      <c r="A46" s="260">
        <v>43</v>
      </c>
      <c r="B46" s="80" t="str">
        <f t="shared" si="0"/>
        <v/>
      </c>
      <c r="C46" s="17"/>
      <c r="D46" s="18"/>
      <c r="E46" s="17"/>
      <c r="F46" s="19"/>
      <c r="G46" s="19"/>
      <c r="H46" s="73" t="str">
        <f t="shared" si="1"/>
        <v/>
      </c>
      <c r="I46" s="260" t="str">
        <f t="shared" si="5"/>
        <v/>
      </c>
      <c r="J46" s="260" t="str">
        <f t="shared" si="2"/>
        <v/>
      </c>
      <c r="L46" s="73" t="str">
        <f t="shared" si="3"/>
        <v/>
      </c>
      <c r="M46" s="73" t="str">
        <f t="shared" si="4"/>
        <v/>
      </c>
      <c r="O46" s="19"/>
      <c r="P46" s="19"/>
      <c r="Q46" s="266"/>
      <c r="R46" s="19"/>
      <c r="S46" s="19"/>
      <c r="T46" s="28"/>
      <c r="U46" s="29"/>
      <c r="V46" s="266"/>
      <c r="W46" s="30"/>
    </row>
    <row r="47" spans="1:23">
      <c r="A47" s="260">
        <v>44</v>
      </c>
      <c r="B47" s="80" t="str">
        <f t="shared" si="0"/>
        <v/>
      </c>
      <c r="C47" s="17"/>
      <c r="D47" s="18"/>
      <c r="E47" s="17"/>
      <c r="F47" s="19"/>
      <c r="G47" s="19"/>
      <c r="H47" s="73" t="str">
        <f t="shared" si="1"/>
        <v/>
      </c>
      <c r="I47" s="260" t="str">
        <f t="shared" si="5"/>
        <v/>
      </c>
      <c r="J47" s="260" t="str">
        <f t="shared" si="2"/>
        <v/>
      </c>
      <c r="L47" s="73" t="str">
        <f t="shared" si="3"/>
        <v/>
      </c>
      <c r="M47" s="73" t="str">
        <f t="shared" si="4"/>
        <v/>
      </c>
      <c r="O47" s="19"/>
      <c r="P47" s="19"/>
      <c r="Q47" s="266"/>
      <c r="R47" s="19"/>
      <c r="S47" s="19"/>
      <c r="T47" s="28"/>
      <c r="U47" s="29"/>
      <c r="V47" s="266"/>
      <c r="W47" s="30"/>
    </row>
    <row r="48" spans="1:23">
      <c r="A48" s="260">
        <v>45</v>
      </c>
      <c r="B48" s="80" t="str">
        <f t="shared" si="0"/>
        <v/>
      </c>
      <c r="C48" s="17"/>
      <c r="D48" s="18"/>
      <c r="E48" s="17"/>
      <c r="F48" s="19"/>
      <c r="G48" s="19"/>
      <c r="H48" s="73" t="str">
        <f t="shared" si="1"/>
        <v/>
      </c>
      <c r="I48" s="260" t="str">
        <f t="shared" si="5"/>
        <v/>
      </c>
      <c r="J48" s="260" t="str">
        <f t="shared" si="2"/>
        <v/>
      </c>
      <c r="L48" s="73" t="str">
        <f t="shared" si="3"/>
        <v/>
      </c>
      <c r="M48" s="73" t="str">
        <f t="shared" si="4"/>
        <v/>
      </c>
      <c r="O48" s="19"/>
      <c r="P48" s="19"/>
      <c r="Q48" s="266"/>
      <c r="R48" s="19"/>
      <c r="S48" s="19"/>
      <c r="T48" s="28"/>
      <c r="U48" s="29"/>
      <c r="V48" s="266"/>
      <c r="W48" s="30"/>
    </row>
    <row r="49" spans="1:23">
      <c r="A49" s="260">
        <v>46</v>
      </c>
      <c r="B49" s="80" t="str">
        <f t="shared" si="0"/>
        <v/>
      </c>
      <c r="C49" s="17"/>
      <c r="D49" s="18"/>
      <c r="E49" s="17"/>
      <c r="F49" s="19"/>
      <c r="G49" s="19"/>
      <c r="H49" s="73" t="str">
        <f t="shared" si="1"/>
        <v/>
      </c>
      <c r="I49" s="260" t="str">
        <f t="shared" si="5"/>
        <v/>
      </c>
      <c r="J49" s="260" t="str">
        <f t="shared" si="2"/>
        <v/>
      </c>
      <c r="L49" s="73" t="str">
        <f t="shared" si="3"/>
        <v/>
      </c>
      <c r="M49" s="73" t="str">
        <f t="shared" si="4"/>
        <v/>
      </c>
      <c r="O49" s="19"/>
      <c r="P49" s="19"/>
      <c r="Q49" s="266"/>
      <c r="R49" s="19"/>
      <c r="S49" s="19"/>
      <c r="T49" s="28"/>
      <c r="U49" s="29"/>
      <c r="V49" s="266"/>
      <c r="W49" s="30"/>
    </row>
    <row r="50" spans="1:23">
      <c r="A50" s="260">
        <v>47</v>
      </c>
      <c r="B50" s="80" t="str">
        <f t="shared" si="0"/>
        <v/>
      </c>
      <c r="C50" s="17"/>
      <c r="D50" s="18"/>
      <c r="E50" s="17"/>
      <c r="F50" s="19"/>
      <c r="G50" s="19"/>
      <c r="H50" s="73" t="str">
        <f t="shared" si="1"/>
        <v/>
      </c>
      <c r="I50" s="260" t="str">
        <f t="shared" si="5"/>
        <v/>
      </c>
      <c r="J50" s="260" t="str">
        <f t="shared" si="2"/>
        <v/>
      </c>
      <c r="L50" s="73" t="str">
        <f t="shared" si="3"/>
        <v/>
      </c>
      <c r="M50" s="73" t="str">
        <f t="shared" si="4"/>
        <v/>
      </c>
      <c r="O50" s="19"/>
      <c r="P50" s="19"/>
      <c r="Q50" s="266"/>
      <c r="R50" s="19"/>
      <c r="S50" s="19"/>
      <c r="T50" s="28"/>
      <c r="U50" s="29"/>
      <c r="V50" s="266"/>
      <c r="W50" s="30"/>
    </row>
    <row r="51" spans="1:23">
      <c r="A51" s="260">
        <v>48</v>
      </c>
      <c r="B51" s="80" t="str">
        <f t="shared" si="0"/>
        <v/>
      </c>
      <c r="C51" s="17"/>
      <c r="D51" s="18"/>
      <c r="E51" s="17"/>
      <c r="F51" s="19"/>
      <c r="G51" s="19"/>
      <c r="H51" s="73" t="str">
        <f t="shared" si="1"/>
        <v/>
      </c>
      <c r="I51" s="260" t="str">
        <f t="shared" si="5"/>
        <v/>
      </c>
      <c r="J51" s="260" t="str">
        <f t="shared" si="2"/>
        <v/>
      </c>
      <c r="L51" s="73" t="str">
        <f t="shared" si="3"/>
        <v/>
      </c>
      <c r="M51" s="73" t="str">
        <f t="shared" si="4"/>
        <v/>
      </c>
      <c r="O51" s="19"/>
      <c r="P51" s="19"/>
      <c r="Q51" s="266"/>
      <c r="R51" s="19"/>
      <c r="S51" s="19"/>
      <c r="T51" s="28"/>
      <c r="U51" s="29"/>
      <c r="V51" s="266"/>
      <c r="W51" s="30"/>
    </row>
    <row r="52" spans="1:23">
      <c r="A52" s="260">
        <v>49</v>
      </c>
      <c r="B52" s="80" t="str">
        <f t="shared" si="0"/>
        <v/>
      </c>
      <c r="C52" s="17"/>
      <c r="D52" s="18"/>
      <c r="E52" s="17"/>
      <c r="F52" s="19"/>
      <c r="G52" s="19"/>
      <c r="H52" s="73" t="str">
        <f t="shared" si="1"/>
        <v/>
      </c>
      <c r="I52" s="260" t="str">
        <f t="shared" si="5"/>
        <v/>
      </c>
      <c r="J52" s="260" t="str">
        <f t="shared" si="2"/>
        <v/>
      </c>
      <c r="L52" s="73" t="str">
        <f t="shared" si="3"/>
        <v/>
      </c>
      <c r="M52" s="73" t="str">
        <f t="shared" si="4"/>
        <v/>
      </c>
      <c r="O52" s="19"/>
      <c r="P52" s="19"/>
      <c r="Q52" s="266"/>
      <c r="R52" s="19"/>
      <c r="S52" s="19"/>
      <c r="T52" s="28"/>
      <c r="U52" s="29"/>
      <c r="V52" s="266"/>
      <c r="W52" s="30"/>
    </row>
    <row r="53" spans="1:23">
      <c r="A53" s="260">
        <v>50</v>
      </c>
      <c r="B53" s="80" t="str">
        <f t="shared" si="0"/>
        <v/>
      </c>
      <c r="C53" s="17"/>
      <c r="D53" s="18"/>
      <c r="E53" s="17"/>
      <c r="F53" s="19"/>
      <c r="G53" s="19"/>
      <c r="H53" s="73" t="str">
        <f t="shared" si="1"/>
        <v/>
      </c>
      <c r="I53" s="260" t="str">
        <f t="shared" si="5"/>
        <v/>
      </c>
      <c r="J53" s="260" t="str">
        <f t="shared" si="2"/>
        <v/>
      </c>
      <c r="L53" s="73" t="str">
        <f t="shared" si="3"/>
        <v/>
      </c>
      <c r="M53" s="73" t="str">
        <f t="shared" si="4"/>
        <v/>
      </c>
      <c r="O53" s="19"/>
      <c r="P53" s="19"/>
      <c r="Q53" s="266"/>
      <c r="R53" s="19"/>
      <c r="S53" s="19"/>
      <c r="T53" s="28"/>
      <c r="U53" s="29"/>
      <c r="V53" s="266"/>
      <c r="W53" s="30"/>
    </row>
    <row r="54" spans="1:23">
      <c r="A54" s="260">
        <v>51</v>
      </c>
      <c r="B54" s="80" t="str">
        <f t="shared" si="0"/>
        <v/>
      </c>
      <c r="C54" s="17"/>
      <c r="D54" s="18"/>
      <c r="E54" s="17"/>
      <c r="F54" s="19"/>
      <c r="G54" s="19"/>
      <c r="H54" s="73" t="str">
        <f t="shared" si="1"/>
        <v/>
      </c>
      <c r="I54" s="260" t="str">
        <f t="shared" si="5"/>
        <v/>
      </c>
      <c r="J54" s="260" t="str">
        <f t="shared" si="2"/>
        <v/>
      </c>
      <c r="L54" s="73" t="str">
        <f t="shared" si="3"/>
        <v/>
      </c>
      <c r="M54" s="73" t="str">
        <f t="shared" si="4"/>
        <v/>
      </c>
      <c r="O54" s="19"/>
      <c r="P54" s="19"/>
      <c r="Q54" s="266"/>
      <c r="R54" s="19"/>
      <c r="S54" s="19"/>
      <c r="T54" s="28"/>
      <c r="U54" s="29"/>
      <c r="V54" s="266"/>
      <c r="W54" s="30"/>
    </row>
    <row r="55" spans="1:23">
      <c r="A55" s="260">
        <v>52</v>
      </c>
      <c r="B55" s="80" t="str">
        <f t="shared" si="0"/>
        <v/>
      </c>
      <c r="C55" s="17"/>
      <c r="D55" s="18"/>
      <c r="E55" s="17"/>
      <c r="F55" s="19"/>
      <c r="G55" s="19"/>
      <c r="H55" s="73" t="str">
        <f t="shared" si="1"/>
        <v/>
      </c>
      <c r="I55" s="260" t="str">
        <f t="shared" si="5"/>
        <v/>
      </c>
      <c r="J55" s="260" t="str">
        <f t="shared" si="2"/>
        <v/>
      </c>
      <c r="L55" s="73" t="str">
        <f t="shared" si="3"/>
        <v/>
      </c>
      <c r="M55" s="73" t="str">
        <f t="shared" si="4"/>
        <v/>
      </c>
      <c r="O55" s="19"/>
      <c r="P55" s="19"/>
      <c r="Q55" s="266"/>
      <c r="R55" s="19"/>
      <c r="S55" s="19"/>
      <c r="T55" s="28"/>
      <c r="U55" s="29"/>
      <c r="V55" s="266"/>
      <c r="W55" s="30"/>
    </row>
    <row r="56" spans="1:23">
      <c r="A56" s="260">
        <v>53</v>
      </c>
      <c r="B56" s="80" t="str">
        <f t="shared" si="0"/>
        <v/>
      </c>
      <c r="C56" s="17"/>
      <c r="D56" s="18"/>
      <c r="E56" s="17"/>
      <c r="F56" s="19"/>
      <c r="G56" s="19"/>
      <c r="H56" s="73" t="str">
        <f t="shared" si="1"/>
        <v/>
      </c>
      <c r="I56" s="260" t="str">
        <f t="shared" si="5"/>
        <v/>
      </c>
      <c r="J56" s="260" t="str">
        <f t="shared" si="2"/>
        <v/>
      </c>
      <c r="L56" s="73" t="str">
        <f t="shared" si="3"/>
        <v/>
      </c>
      <c r="M56" s="73" t="str">
        <f t="shared" si="4"/>
        <v/>
      </c>
      <c r="O56" s="19"/>
      <c r="P56" s="19"/>
      <c r="Q56" s="266"/>
      <c r="R56" s="19"/>
      <c r="S56" s="19"/>
      <c r="T56" s="28"/>
      <c r="U56" s="29"/>
      <c r="V56" s="266"/>
      <c r="W56" s="30"/>
    </row>
    <row r="57" spans="1:23">
      <c r="A57" s="260">
        <v>54</v>
      </c>
      <c r="B57" s="80" t="str">
        <f t="shared" si="0"/>
        <v/>
      </c>
      <c r="C57" s="17"/>
      <c r="D57" s="18"/>
      <c r="E57" s="17"/>
      <c r="F57" s="19"/>
      <c r="G57" s="19"/>
      <c r="H57" s="73" t="str">
        <f t="shared" si="1"/>
        <v/>
      </c>
      <c r="I57" s="260" t="str">
        <f t="shared" si="5"/>
        <v/>
      </c>
      <c r="J57" s="260" t="str">
        <f t="shared" si="2"/>
        <v/>
      </c>
      <c r="L57" s="73" t="str">
        <f t="shared" si="3"/>
        <v/>
      </c>
      <c r="M57" s="73" t="str">
        <f t="shared" si="4"/>
        <v/>
      </c>
      <c r="O57" s="19"/>
      <c r="P57" s="19"/>
      <c r="Q57" s="266"/>
      <c r="R57" s="19"/>
      <c r="S57" s="19"/>
      <c r="T57" s="28"/>
      <c r="U57" s="29"/>
      <c r="V57" s="266"/>
      <c r="W57" s="30"/>
    </row>
    <row r="58" spans="1:23">
      <c r="A58" s="260">
        <v>55</v>
      </c>
      <c r="B58" s="80" t="str">
        <f t="shared" si="0"/>
        <v/>
      </c>
      <c r="C58" s="17"/>
      <c r="D58" s="18"/>
      <c r="E58" s="17"/>
      <c r="F58" s="19"/>
      <c r="G58" s="19"/>
      <c r="H58" s="73" t="str">
        <f t="shared" si="1"/>
        <v/>
      </c>
      <c r="I58" s="260" t="str">
        <f t="shared" si="5"/>
        <v/>
      </c>
      <c r="J58" s="260" t="str">
        <f t="shared" si="2"/>
        <v/>
      </c>
      <c r="L58" s="73" t="str">
        <f t="shared" si="3"/>
        <v/>
      </c>
      <c r="M58" s="73" t="str">
        <f t="shared" si="4"/>
        <v/>
      </c>
      <c r="O58" s="19"/>
      <c r="P58" s="19"/>
      <c r="Q58" s="266"/>
      <c r="R58" s="19"/>
      <c r="S58" s="19"/>
      <c r="T58" s="28"/>
      <c r="U58" s="29"/>
      <c r="V58" s="266"/>
      <c r="W58" s="30"/>
    </row>
    <row r="59" spans="1:23">
      <c r="A59" s="260">
        <v>56</v>
      </c>
      <c r="B59" s="80" t="str">
        <f t="shared" si="0"/>
        <v/>
      </c>
      <c r="C59" s="17"/>
      <c r="D59" s="18"/>
      <c r="E59" s="17"/>
      <c r="F59" s="19"/>
      <c r="G59" s="19"/>
      <c r="H59" s="73" t="str">
        <f t="shared" si="1"/>
        <v/>
      </c>
      <c r="I59" s="260" t="str">
        <f t="shared" si="5"/>
        <v/>
      </c>
      <c r="J59" s="260" t="str">
        <f t="shared" si="2"/>
        <v/>
      </c>
      <c r="L59" s="73" t="str">
        <f t="shared" si="3"/>
        <v/>
      </c>
      <c r="M59" s="73" t="str">
        <f t="shared" si="4"/>
        <v/>
      </c>
      <c r="O59" s="19"/>
      <c r="P59" s="19"/>
      <c r="Q59" s="266"/>
      <c r="R59" s="19"/>
      <c r="S59" s="19"/>
      <c r="T59" s="28"/>
      <c r="U59" s="29"/>
      <c r="V59" s="266"/>
      <c r="W59" s="30"/>
    </row>
    <row r="60" spans="1:23">
      <c r="A60" s="260">
        <v>57</v>
      </c>
      <c r="B60" s="80" t="str">
        <f t="shared" si="0"/>
        <v/>
      </c>
      <c r="C60" s="17"/>
      <c r="D60" s="18"/>
      <c r="E60" s="17"/>
      <c r="F60" s="19"/>
      <c r="G60" s="19"/>
      <c r="H60" s="73" t="str">
        <f t="shared" si="1"/>
        <v/>
      </c>
      <c r="I60" s="260" t="str">
        <f t="shared" si="5"/>
        <v/>
      </c>
      <c r="J60" s="260" t="str">
        <f t="shared" si="2"/>
        <v/>
      </c>
      <c r="L60" s="73" t="str">
        <f t="shared" si="3"/>
        <v/>
      </c>
      <c r="M60" s="73" t="str">
        <f t="shared" si="4"/>
        <v/>
      </c>
      <c r="O60" s="19"/>
      <c r="P60" s="19"/>
      <c r="Q60" s="266"/>
      <c r="R60" s="19"/>
      <c r="S60" s="19"/>
      <c r="T60" s="28"/>
      <c r="U60" s="29"/>
      <c r="V60" s="266"/>
      <c r="W60" s="30"/>
    </row>
    <row r="61" spans="1:23">
      <c r="A61" s="260">
        <v>58</v>
      </c>
      <c r="B61" s="80" t="str">
        <f t="shared" si="0"/>
        <v/>
      </c>
      <c r="C61" s="17"/>
      <c r="D61" s="18"/>
      <c r="E61" s="17"/>
      <c r="F61" s="19"/>
      <c r="G61" s="19"/>
      <c r="H61" s="73" t="str">
        <f t="shared" si="1"/>
        <v/>
      </c>
      <c r="I61" s="260" t="str">
        <f t="shared" si="5"/>
        <v/>
      </c>
      <c r="J61" s="260" t="str">
        <f t="shared" si="2"/>
        <v/>
      </c>
      <c r="L61" s="73" t="str">
        <f t="shared" si="3"/>
        <v/>
      </c>
      <c r="M61" s="73" t="str">
        <f t="shared" si="4"/>
        <v/>
      </c>
      <c r="O61" s="19"/>
      <c r="P61" s="19"/>
      <c r="Q61" s="266"/>
      <c r="R61" s="19"/>
      <c r="S61" s="19"/>
      <c r="T61" s="28"/>
      <c r="U61" s="29"/>
      <c r="V61" s="266"/>
      <c r="W61" s="30"/>
    </row>
    <row r="62" spans="1:23">
      <c r="A62" s="260">
        <v>59</v>
      </c>
      <c r="B62" s="80" t="str">
        <f t="shared" si="0"/>
        <v/>
      </c>
      <c r="C62" s="17"/>
      <c r="D62" s="18"/>
      <c r="E62" s="17"/>
      <c r="F62" s="19"/>
      <c r="G62" s="19"/>
      <c r="H62" s="73" t="str">
        <f t="shared" si="1"/>
        <v/>
      </c>
      <c r="I62" s="260" t="str">
        <f t="shared" si="5"/>
        <v/>
      </c>
      <c r="J62" s="260" t="str">
        <f t="shared" si="2"/>
        <v/>
      </c>
      <c r="L62" s="73" t="str">
        <f t="shared" si="3"/>
        <v/>
      </c>
      <c r="M62" s="73" t="str">
        <f t="shared" si="4"/>
        <v/>
      </c>
      <c r="O62" s="19"/>
      <c r="P62" s="19"/>
      <c r="Q62" s="266"/>
      <c r="R62" s="19"/>
      <c r="S62" s="19"/>
      <c r="T62" s="28"/>
      <c r="U62" s="29"/>
      <c r="V62" s="266"/>
      <c r="W62" s="30"/>
    </row>
    <row r="63" spans="1:23">
      <c r="A63" s="260">
        <v>60</v>
      </c>
      <c r="B63" s="80" t="str">
        <f t="shared" si="0"/>
        <v/>
      </c>
      <c r="C63" s="17"/>
      <c r="D63" s="18"/>
      <c r="E63" s="17"/>
      <c r="F63" s="19"/>
      <c r="G63" s="19"/>
      <c r="H63" s="73" t="str">
        <f t="shared" si="1"/>
        <v/>
      </c>
      <c r="I63" s="260" t="str">
        <f t="shared" si="5"/>
        <v/>
      </c>
      <c r="J63" s="260" t="str">
        <f t="shared" si="2"/>
        <v/>
      </c>
      <c r="L63" s="73" t="str">
        <f t="shared" si="3"/>
        <v/>
      </c>
      <c r="M63" s="73" t="str">
        <f t="shared" si="4"/>
        <v/>
      </c>
      <c r="O63" s="19"/>
      <c r="P63" s="19"/>
      <c r="Q63" s="266"/>
      <c r="R63" s="19"/>
      <c r="S63" s="19"/>
      <c r="T63" s="28"/>
      <c r="U63" s="29"/>
      <c r="V63" s="266"/>
      <c r="W63" s="30"/>
    </row>
    <row r="64" spans="1:23">
      <c r="A64" s="260">
        <v>61</v>
      </c>
      <c r="B64" s="80" t="str">
        <f t="shared" si="0"/>
        <v/>
      </c>
      <c r="C64" s="17"/>
      <c r="D64" s="18"/>
      <c r="E64" s="17"/>
      <c r="F64" s="19"/>
      <c r="G64" s="19"/>
      <c r="H64" s="73" t="str">
        <f t="shared" si="1"/>
        <v/>
      </c>
      <c r="I64" s="260" t="str">
        <f t="shared" si="5"/>
        <v/>
      </c>
      <c r="J64" s="260" t="str">
        <f t="shared" si="2"/>
        <v/>
      </c>
      <c r="L64" s="73" t="str">
        <f t="shared" si="3"/>
        <v/>
      </c>
      <c r="M64" s="73" t="str">
        <f t="shared" si="4"/>
        <v/>
      </c>
      <c r="O64" s="19"/>
      <c r="P64" s="19"/>
      <c r="Q64" s="266"/>
      <c r="R64" s="19"/>
      <c r="S64" s="19"/>
      <c r="T64" s="28"/>
      <c r="U64" s="29"/>
      <c r="V64" s="266"/>
      <c r="W64" s="30"/>
    </row>
    <row r="65" spans="1:23">
      <c r="A65" s="260">
        <v>62</v>
      </c>
      <c r="B65" s="80" t="str">
        <f t="shared" si="0"/>
        <v/>
      </c>
      <c r="C65" s="17"/>
      <c r="D65" s="18"/>
      <c r="E65" s="17"/>
      <c r="F65" s="19"/>
      <c r="G65" s="19"/>
      <c r="H65" s="73" t="str">
        <f t="shared" si="1"/>
        <v/>
      </c>
      <c r="I65" s="260" t="str">
        <f t="shared" si="5"/>
        <v/>
      </c>
      <c r="J65" s="260" t="str">
        <f t="shared" si="2"/>
        <v/>
      </c>
      <c r="L65" s="73" t="str">
        <f t="shared" si="3"/>
        <v/>
      </c>
      <c r="M65" s="73" t="str">
        <f t="shared" si="4"/>
        <v/>
      </c>
      <c r="O65" s="19"/>
      <c r="P65" s="19"/>
      <c r="Q65" s="266"/>
      <c r="R65" s="19"/>
      <c r="S65" s="19"/>
      <c r="T65" s="28"/>
      <c r="U65" s="29"/>
      <c r="V65" s="266"/>
      <c r="W65" s="30"/>
    </row>
    <row r="66" spans="1:23">
      <c r="A66" s="260">
        <v>63</v>
      </c>
      <c r="B66" s="80" t="str">
        <f t="shared" si="0"/>
        <v/>
      </c>
      <c r="C66" s="17"/>
      <c r="D66" s="18"/>
      <c r="E66" s="17"/>
      <c r="F66" s="19"/>
      <c r="G66" s="19"/>
      <c r="H66" s="73" t="str">
        <f t="shared" si="1"/>
        <v/>
      </c>
      <c r="I66" s="260" t="str">
        <f t="shared" si="5"/>
        <v/>
      </c>
      <c r="J66" s="260" t="str">
        <f t="shared" si="2"/>
        <v/>
      </c>
      <c r="L66" s="73" t="str">
        <f t="shared" si="3"/>
        <v/>
      </c>
      <c r="M66" s="73" t="str">
        <f t="shared" si="4"/>
        <v/>
      </c>
      <c r="O66" s="19"/>
      <c r="P66" s="19"/>
      <c r="Q66" s="266"/>
      <c r="R66" s="19"/>
      <c r="S66" s="19"/>
      <c r="T66" s="28"/>
      <c r="U66" s="29"/>
      <c r="V66" s="266"/>
      <c r="W66" s="30"/>
    </row>
    <row r="67" spans="1:23">
      <c r="A67" s="260">
        <v>64</v>
      </c>
      <c r="B67" s="80" t="str">
        <f t="shared" si="0"/>
        <v/>
      </c>
      <c r="C67" s="17"/>
      <c r="D67" s="18"/>
      <c r="E67" s="17"/>
      <c r="F67" s="19"/>
      <c r="G67" s="19"/>
      <c r="H67" s="73" t="str">
        <f t="shared" si="1"/>
        <v/>
      </c>
      <c r="I67" s="260" t="str">
        <f t="shared" si="5"/>
        <v/>
      </c>
      <c r="J67" s="260" t="str">
        <f t="shared" si="2"/>
        <v/>
      </c>
      <c r="L67" s="73" t="str">
        <f t="shared" si="3"/>
        <v/>
      </c>
      <c r="M67" s="73" t="str">
        <f t="shared" si="4"/>
        <v/>
      </c>
      <c r="O67" s="19"/>
      <c r="P67" s="19"/>
      <c r="Q67" s="266"/>
      <c r="R67" s="19"/>
      <c r="S67" s="19"/>
      <c r="T67" s="28"/>
      <c r="U67" s="29"/>
      <c r="V67" s="266"/>
      <c r="W67" s="30"/>
    </row>
    <row r="68" spans="1:23">
      <c r="A68" s="260">
        <v>65</v>
      </c>
      <c r="B68" s="80" t="str">
        <f t="shared" si="0"/>
        <v/>
      </c>
      <c r="C68" s="17"/>
      <c r="D68" s="18"/>
      <c r="E68" s="17"/>
      <c r="F68" s="19"/>
      <c r="G68" s="19"/>
      <c r="H68" s="73" t="str">
        <f t="shared" si="1"/>
        <v/>
      </c>
      <c r="I68" s="260" t="str">
        <f t="shared" si="5"/>
        <v/>
      </c>
      <c r="J68" s="260" t="str">
        <f t="shared" si="2"/>
        <v/>
      </c>
      <c r="L68" s="73" t="str">
        <f t="shared" si="3"/>
        <v/>
      </c>
      <c r="M68" s="73" t="str">
        <f t="shared" si="4"/>
        <v/>
      </c>
      <c r="O68" s="19"/>
      <c r="P68" s="19"/>
      <c r="Q68" s="266"/>
      <c r="R68" s="19"/>
      <c r="S68" s="19"/>
      <c r="T68" s="28"/>
      <c r="U68" s="29"/>
      <c r="V68" s="266"/>
      <c r="W68" s="30"/>
    </row>
    <row r="69" spans="1:23">
      <c r="A69" s="260">
        <v>66</v>
      </c>
      <c r="B69" s="80" t="str">
        <f t="shared" ref="B69:B103" si="6">IF(OR($D$1="",C69="",D69="",E69="",F69="",G69=""),"",VALUE($D$1&amp;IF(C69&lt;10,"0"&amp;C69,C69)&amp;D69&amp;IF(E69&lt;10,"0"&amp;E69,E69)))</f>
        <v/>
      </c>
      <c r="C69" s="17"/>
      <c r="D69" s="18"/>
      <c r="E69" s="17"/>
      <c r="F69" s="19"/>
      <c r="G69" s="19"/>
      <c r="H69" s="73" t="str">
        <f t="shared" ref="H69:H103" si="7">IF(B69="","",IF(LENB(L69)+LENB(M69)&gt;=14,L69&amp;M69,IF(LENB(M69)=8,IF(LENB(L69)&lt;=6,IF(LENB(L69)=2,L69&amp;"　　",IF(LENB(L69)=4,LEFT(L69,1)&amp;"　"&amp;RIGHT(L69,1),L69)),L69),IF(LENB(L69)&lt;=6,IF(LENB(L69)=2,L69&amp;"　　　",IF(LENB(L69)=4,LEFT(L69,1)&amp;"　"&amp;RIGHT(L69,1)&amp;"　",L69&amp;"　")),L69)))&amp;IF(B69="","",IF(LENB(L69)+LENB(M69)&gt;=14,"",IF(LENB(M69)=2,"　　"&amp;M69,IF(LENB(M69)=4,LEFT(M69,1)&amp;"　"&amp;RIGHT(M69,1),M69)))))</f>
        <v/>
      </c>
      <c r="I69" s="260" t="str">
        <f t="shared" ref="I69:I103" si="8">IF(B69="","",IF(COUNTIF($B$4:$B$103,B69)=1,"重複なし","重複!!番号訂正"))</f>
        <v/>
      </c>
      <c r="J69" s="260" t="str">
        <f t="shared" ref="J69:J103" si="9">IF(AND($B$1=C69,D69=1),1,IF(AND($B$1=C69,D69=2),2,IF(AND($B$1-1=C69,D69=1),3,IF(AND($B$1-1=C69,D69=2),4,IF(AND($B$1-2=C69,D69=1),5,IF(AND($B$1-2=C69,D69=2),6,IF(AND($B$1-3=C69,D69=1),7,IF(D69=2,8,""))))))))</f>
        <v/>
      </c>
      <c r="L69" s="73" t="str">
        <f t="shared" ref="L69:L103" si="10">TRIM(F69)</f>
        <v/>
      </c>
      <c r="M69" s="73" t="str">
        <f t="shared" ref="M69:M103" si="11">TRIM(G69)</f>
        <v/>
      </c>
      <c r="O69" s="19"/>
      <c r="P69" s="19"/>
      <c r="Q69" s="266"/>
      <c r="R69" s="19"/>
      <c r="S69" s="19"/>
      <c r="T69" s="28"/>
      <c r="U69" s="29"/>
      <c r="V69" s="266"/>
      <c r="W69" s="30"/>
    </row>
    <row r="70" spans="1:23">
      <c r="A70" s="260">
        <v>67</v>
      </c>
      <c r="B70" s="80" t="str">
        <f t="shared" si="6"/>
        <v/>
      </c>
      <c r="C70" s="17"/>
      <c r="D70" s="18"/>
      <c r="E70" s="17"/>
      <c r="F70" s="19"/>
      <c r="G70" s="19"/>
      <c r="H70" s="73" t="str">
        <f t="shared" si="7"/>
        <v/>
      </c>
      <c r="I70" s="260" t="str">
        <f t="shared" si="8"/>
        <v/>
      </c>
      <c r="J70" s="260" t="str">
        <f t="shared" si="9"/>
        <v/>
      </c>
      <c r="L70" s="73" t="str">
        <f t="shared" si="10"/>
        <v/>
      </c>
      <c r="M70" s="73" t="str">
        <f t="shared" si="11"/>
        <v/>
      </c>
      <c r="O70" s="19"/>
      <c r="P70" s="19"/>
      <c r="Q70" s="266"/>
      <c r="R70" s="19"/>
      <c r="S70" s="19"/>
      <c r="T70" s="28"/>
      <c r="U70" s="29"/>
      <c r="V70" s="266"/>
      <c r="W70" s="30"/>
    </row>
    <row r="71" spans="1:23">
      <c r="A71" s="260">
        <v>68</v>
      </c>
      <c r="B71" s="80" t="str">
        <f t="shared" si="6"/>
        <v/>
      </c>
      <c r="C71" s="17"/>
      <c r="D71" s="18"/>
      <c r="E71" s="17"/>
      <c r="F71" s="19"/>
      <c r="G71" s="19"/>
      <c r="H71" s="73" t="str">
        <f t="shared" si="7"/>
        <v/>
      </c>
      <c r="I71" s="260" t="str">
        <f t="shared" si="8"/>
        <v/>
      </c>
      <c r="J71" s="260" t="str">
        <f t="shared" si="9"/>
        <v/>
      </c>
      <c r="L71" s="73" t="str">
        <f t="shared" si="10"/>
        <v/>
      </c>
      <c r="M71" s="73" t="str">
        <f t="shared" si="11"/>
        <v/>
      </c>
      <c r="O71" s="19"/>
      <c r="P71" s="19"/>
      <c r="Q71" s="266"/>
      <c r="R71" s="19"/>
      <c r="S71" s="19"/>
      <c r="T71" s="28"/>
      <c r="U71" s="29"/>
      <c r="V71" s="266"/>
      <c r="W71" s="30"/>
    </row>
    <row r="72" spans="1:23">
      <c r="A72" s="260">
        <v>69</v>
      </c>
      <c r="B72" s="80" t="str">
        <f t="shared" si="6"/>
        <v/>
      </c>
      <c r="C72" s="17"/>
      <c r="D72" s="18"/>
      <c r="E72" s="17"/>
      <c r="F72" s="19"/>
      <c r="G72" s="19"/>
      <c r="H72" s="73" t="str">
        <f t="shared" si="7"/>
        <v/>
      </c>
      <c r="I72" s="260" t="str">
        <f t="shared" si="8"/>
        <v/>
      </c>
      <c r="J72" s="260" t="str">
        <f t="shared" si="9"/>
        <v/>
      </c>
      <c r="L72" s="73" t="str">
        <f t="shared" si="10"/>
        <v/>
      </c>
      <c r="M72" s="73" t="str">
        <f t="shared" si="11"/>
        <v/>
      </c>
      <c r="O72" s="19"/>
      <c r="P72" s="19"/>
      <c r="Q72" s="266"/>
      <c r="R72" s="19"/>
      <c r="S72" s="19"/>
      <c r="T72" s="28"/>
      <c r="U72" s="29"/>
      <c r="V72" s="266"/>
      <c r="W72" s="30"/>
    </row>
    <row r="73" spans="1:23">
      <c r="A73" s="260">
        <v>70</v>
      </c>
      <c r="B73" s="80" t="str">
        <f t="shared" si="6"/>
        <v/>
      </c>
      <c r="C73" s="17"/>
      <c r="D73" s="18"/>
      <c r="E73" s="17"/>
      <c r="F73" s="19"/>
      <c r="G73" s="19"/>
      <c r="H73" s="73" t="str">
        <f t="shared" si="7"/>
        <v/>
      </c>
      <c r="I73" s="260" t="str">
        <f t="shared" si="8"/>
        <v/>
      </c>
      <c r="J73" s="260" t="str">
        <f t="shared" si="9"/>
        <v/>
      </c>
      <c r="L73" s="73" t="str">
        <f t="shared" si="10"/>
        <v/>
      </c>
      <c r="M73" s="73" t="str">
        <f t="shared" si="11"/>
        <v/>
      </c>
      <c r="O73" s="19"/>
      <c r="P73" s="19"/>
      <c r="Q73" s="266"/>
      <c r="R73" s="19"/>
      <c r="S73" s="19"/>
      <c r="T73" s="28"/>
      <c r="U73" s="29"/>
      <c r="V73" s="266"/>
      <c r="W73" s="30"/>
    </row>
    <row r="74" spans="1:23">
      <c r="A74" s="260">
        <v>71</v>
      </c>
      <c r="B74" s="80" t="str">
        <f t="shared" si="6"/>
        <v/>
      </c>
      <c r="C74" s="17"/>
      <c r="D74" s="18"/>
      <c r="E74" s="17"/>
      <c r="F74" s="19"/>
      <c r="G74" s="19"/>
      <c r="H74" s="73" t="str">
        <f t="shared" si="7"/>
        <v/>
      </c>
      <c r="I74" s="260" t="str">
        <f t="shared" si="8"/>
        <v/>
      </c>
      <c r="J74" s="260" t="str">
        <f t="shared" si="9"/>
        <v/>
      </c>
      <c r="L74" s="73" t="str">
        <f t="shared" si="10"/>
        <v/>
      </c>
      <c r="M74" s="73" t="str">
        <f t="shared" si="11"/>
        <v/>
      </c>
      <c r="O74" s="19"/>
      <c r="P74" s="19"/>
      <c r="Q74" s="266"/>
      <c r="R74" s="19"/>
      <c r="S74" s="19"/>
      <c r="T74" s="28"/>
      <c r="U74" s="29"/>
      <c r="V74" s="266"/>
      <c r="W74" s="30"/>
    </row>
    <row r="75" spans="1:23">
      <c r="A75" s="260">
        <v>72</v>
      </c>
      <c r="B75" s="80" t="str">
        <f t="shared" si="6"/>
        <v/>
      </c>
      <c r="C75" s="17"/>
      <c r="D75" s="18"/>
      <c r="E75" s="17"/>
      <c r="F75" s="19"/>
      <c r="G75" s="19"/>
      <c r="H75" s="73" t="str">
        <f t="shared" si="7"/>
        <v/>
      </c>
      <c r="I75" s="260" t="str">
        <f t="shared" si="8"/>
        <v/>
      </c>
      <c r="J75" s="260" t="str">
        <f t="shared" si="9"/>
        <v/>
      </c>
      <c r="L75" s="73" t="str">
        <f t="shared" si="10"/>
        <v/>
      </c>
      <c r="M75" s="73" t="str">
        <f t="shared" si="11"/>
        <v/>
      </c>
      <c r="O75" s="19"/>
      <c r="P75" s="19"/>
      <c r="Q75" s="266"/>
      <c r="R75" s="19"/>
      <c r="S75" s="19"/>
      <c r="T75" s="28"/>
      <c r="U75" s="29"/>
      <c r="V75" s="266"/>
      <c r="W75" s="30"/>
    </row>
    <row r="76" spans="1:23">
      <c r="A76" s="260">
        <v>73</v>
      </c>
      <c r="B76" s="80" t="str">
        <f t="shared" si="6"/>
        <v/>
      </c>
      <c r="C76" s="17"/>
      <c r="D76" s="18"/>
      <c r="E76" s="17"/>
      <c r="F76" s="19"/>
      <c r="G76" s="19"/>
      <c r="H76" s="73" t="str">
        <f t="shared" si="7"/>
        <v/>
      </c>
      <c r="I76" s="260" t="str">
        <f t="shared" si="8"/>
        <v/>
      </c>
      <c r="J76" s="260" t="str">
        <f t="shared" si="9"/>
        <v/>
      </c>
      <c r="L76" s="73" t="str">
        <f t="shared" si="10"/>
        <v/>
      </c>
      <c r="M76" s="73" t="str">
        <f t="shared" si="11"/>
        <v/>
      </c>
      <c r="O76" s="19"/>
      <c r="P76" s="19"/>
      <c r="Q76" s="266"/>
      <c r="R76" s="19"/>
      <c r="S76" s="19"/>
      <c r="T76" s="28"/>
      <c r="U76" s="29"/>
      <c r="V76" s="266"/>
      <c r="W76" s="30"/>
    </row>
    <row r="77" spans="1:23">
      <c r="A77" s="260">
        <v>74</v>
      </c>
      <c r="B77" s="80" t="str">
        <f t="shared" si="6"/>
        <v/>
      </c>
      <c r="C77" s="17"/>
      <c r="D77" s="18"/>
      <c r="E77" s="17"/>
      <c r="F77" s="19"/>
      <c r="G77" s="19"/>
      <c r="H77" s="73" t="str">
        <f t="shared" si="7"/>
        <v/>
      </c>
      <c r="I77" s="260" t="str">
        <f t="shared" si="8"/>
        <v/>
      </c>
      <c r="J77" s="260" t="str">
        <f t="shared" si="9"/>
        <v/>
      </c>
      <c r="L77" s="73" t="str">
        <f t="shared" si="10"/>
        <v/>
      </c>
      <c r="M77" s="73" t="str">
        <f t="shared" si="11"/>
        <v/>
      </c>
      <c r="O77" s="19"/>
      <c r="P77" s="19"/>
      <c r="Q77" s="266"/>
      <c r="R77" s="19"/>
      <c r="S77" s="19"/>
      <c r="T77" s="28"/>
      <c r="U77" s="29"/>
      <c r="V77" s="266"/>
      <c r="W77" s="30"/>
    </row>
    <row r="78" spans="1:23">
      <c r="A78" s="260">
        <v>75</v>
      </c>
      <c r="B78" s="80" t="str">
        <f t="shared" si="6"/>
        <v/>
      </c>
      <c r="C78" s="17"/>
      <c r="D78" s="18"/>
      <c r="E78" s="17"/>
      <c r="F78" s="19"/>
      <c r="G78" s="19"/>
      <c r="H78" s="73" t="str">
        <f t="shared" si="7"/>
        <v/>
      </c>
      <c r="I78" s="260" t="str">
        <f t="shared" si="8"/>
        <v/>
      </c>
      <c r="J78" s="260" t="str">
        <f t="shared" si="9"/>
        <v/>
      </c>
      <c r="L78" s="73" t="str">
        <f t="shared" si="10"/>
        <v/>
      </c>
      <c r="M78" s="73" t="str">
        <f t="shared" si="11"/>
        <v/>
      </c>
      <c r="O78" s="19"/>
      <c r="P78" s="19"/>
      <c r="Q78" s="266"/>
      <c r="R78" s="19"/>
      <c r="S78" s="19"/>
      <c r="T78" s="28"/>
      <c r="U78" s="29"/>
      <c r="V78" s="266"/>
      <c r="W78" s="30"/>
    </row>
    <row r="79" spans="1:23">
      <c r="A79" s="260">
        <v>76</v>
      </c>
      <c r="B79" s="80" t="str">
        <f t="shared" si="6"/>
        <v/>
      </c>
      <c r="C79" s="17"/>
      <c r="D79" s="18"/>
      <c r="E79" s="17"/>
      <c r="F79" s="19"/>
      <c r="G79" s="19"/>
      <c r="H79" s="73" t="str">
        <f t="shared" si="7"/>
        <v/>
      </c>
      <c r="I79" s="260" t="str">
        <f t="shared" si="8"/>
        <v/>
      </c>
      <c r="J79" s="260" t="str">
        <f t="shared" si="9"/>
        <v/>
      </c>
      <c r="L79" s="73" t="str">
        <f t="shared" si="10"/>
        <v/>
      </c>
      <c r="M79" s="73" t="str">
        <f t="shared" si="11"/>
        <v/>
      </c>
      <c r="O79" s="19"/>
      <c r="P79" s="19"/>
      <c r="Q79" s="266"/>
      <c r="R79" s="19"/>
      <c r="S79" s="19"/>
      <c r="T79" s="28"/>
      <c r="U79" s="29"/>
      <c r="V79" s="266"/>
      <c r="W79" s="30"/>
    </row>
    <row r="80" spans="1:23">
      <c r="A80" s="260">
        <v>77</v>
      </c>
      <c r="B80" s="80" t="str">
        <f t="shared" si="6"/>
        <v/>
      </c>
      <c r="C80" s="17"/>
      <c r="D80" s="18"/>
      <c r="E80" s="17"/>
      <c r="F80" s="19"/>
      <c r="G80" s="19"/>
      <c r="H80" s="73" t="str">
        <f t="shared" si="7"/>
        <v/>
      </c>
      <c r="I80" s="260" t="str">
        <f t="shared" si="8"/>
        <v/>
      </c>
      <c r="J80" s="260" t="str">
        <f t="shared" si="9"/>
        <v/>
      </c>
      <c r="L80" s="73" t="str">
        <f t="shared" si="10"/>
        <v/>
      </c>
      <c r="M80" s="73" t="str">
        <f t="shared" si="11"/>
        <v/>
      </c>
      <c r="O80" s="19"/>
      <c r="P80" s="19"/>
      <c r="Q80" s="266"/>
      <c r="R80" s="19"/>
      <c r="S80" s="19"/>
      <c r="T80" s="28"/>
      <c r="U80" s="29"/>
      <c r="V80" s="266"/>
      <c r="W80" s="30"/>
    </row>
    <row r="81" spans="1:23">
      <c r="A81" s="260">
        <v>78</v>
      </c>
      <c r="B81" s="80" t="str">
        <f t="shared" si="6"/>
        <v/>
      </c>
      <c r="C81" s="17"/>
      <c r="D81" s="18"/>
      <c r="E81" s="17"/>
      <c r="F81" s="19"/>
      <c r="G81" s="19"/>
      <c r="H81" s="73" t="str">
        <f t="shared" si="7"/>
        <v/>
      </c>
      <c r="I81" s="260" t="str">
        <f t="shared" si="8"/>
        <v/>
      </c>
      <c r="J81" s="260" t="str">
        <f t="shared" si="9"/>
        <v/>
      </c>
      <c r="L81" s="73" t="str">
        <f t="shared" si="10"/>
        <v/>
      </c>
      <c r="M81" s="73" t="str">
        <f t="shared" si="11"/>
        <v/>
      </c>
      <c r="O81" s="19"/>
      <c r="P81" s="19"/>
      <c r="Q81" s="266"/>
      <c r="R81" s="19"/>
      <c r="S81" s="19"/>
      <c r="T81" s="28"/>
      <c r="U81" s="29"/>
      <c r="V81" s="266"/>
      <c r="W81" s="30"/>
    </row>
    <row r="82" spans="1:23">
      <c r="A82" s="260">
        <v>79</v>
      </c>
      <c r="B82" s="80" t="str">
        <f t="shared" si="6"/>
        <v/>
      </c>
      <c r="C82" s="17"/>
      <c r="D82" s="18"/>
      <c r="E82" s="17"/>
      <c r="F82" s="19"/>
      <c r="G82" s="19"/>
      <c r="H82" s="73" t="str">
        <f t="shared" si="7"/>
        <v/>
      </c>
      <c r="I82" s="260" t="str">
        <f t="shared" si="8"/>
        <v/>
      </c>
      <c r="J82" s="260" t="str">
        <f t="shared" si="9"/>
        <v/>
      </c>
      <c r="L82" s="73" t="str">
        <f t="shared" si="10"/>
        <v/>
      </c>
      <c r="M82" s="73" t="str">
        <f t="shared" si="11"/>
        <v/>
      </c>
      <c r="O82" s="19"/>
      <c r="P82" s="19"/>
      <c r="Q82" s="266"/>
      <c r="R82" s="19"/>
      <c r="S82" s="19"/>
      <c r="T82" s="28"/>
      <c r="U82" s="29"/>
      <c r="V82" s="266"/>
      <c r="W82" s="30"/>
    </row>
    <row r="83" spans="1:23">
      <c r="A83" s="260">
        <v>80</v>
      </c>
      <c r="B83" s="80" t="str">
        <f t="shared" si="6"/>
        <v/>
      </c>
      <c r="C83" s="17"/>
      <c r="D83" s="18"/>
      <c r="E83" s="17"/>
      <c r="F83" s="19"/>
      <c r="G83" s="19"/>
      <c r="H83" s="73" t="str">
        <f t="shared" si="7"/>
        <v/>
      </c>
      <c r="I83" s="260" t="str">
        <f t="shared" si="8"/>
        <v/>
      </c>
      <c r="J83" s="260" t="str">
        <f t="shared" si="9"/>
        <v/>
      </c>
      <c r="L83" s="73" t="str">
        <f t="shared" si="10"/>
        <v/>
      </c>
      <c r="M83" s="73" t="str">
        <f t="shared" si="11"/>
        <v/>
      </c>
      <c r="O83" s="19"/>
      <c r="P83" s="19"/>
      <c r="Q83" s="266"/>
      <c r="R83" s="19"/>
      <c r="S83" s="19"/>
      <c r="T83" s="28"/>
      <c r="U83" s="29"/>
      <c r="V83" s="266"/>
      <c r="W83" s="30"/>
    </row>
    <row r="84" spans="1:23">
      <c r="A84" s="260">
        <v>81</v>
      </c>
      <c r="B84" s="80" t="str">
        <f t="shared" si="6"/>
        <v/>
      </c>
      <c r="C84" s="17"/>
      <c r="D84" s="18"/>
      <c r="E84" s="17"/>
      <c r="F84" s="19"/>
      <c r="G84" s="19"/>
      <c r="H84" s="73" t="str">
        <f t="shared" si="7"/>
        <v/>
      </c>
      <c r="I84" s="260" t="str">
        <f t="shared" si="8"/>
        <v/>
      </c>
      <c r="J84" s="260" t="str">
        <f t="shared" si="9"/>
        <v/>
      </c>
      <c r="L84" s="73" t="str">
        <f t="shared" si="10"/>
        <v/>
      </c>
      <c r="M84" s="73" t="str">
        <f t="shared" si="11"/>
        <v/>
      </c>
      <c r="O84" s="19"/>
      <c r="P84" s="19"/>
      <c r="Q84" s="266"/>
      <c r="R84" s="19"/>
      <c r="S84" s="19"/>
      <c r="T84" s="28"/>
      <c r="U84" s="29"/>
      <c r="V84" s="266"/>
      <c r="W84" s="30"/>
    </row>
    <row r="85" spans="1:23">
      <c r="A85" s="260">
        <v>82</v>
      </c>
      <c r="B85" s="80" t="str">
        <f t="shared" si="6"/>
        <v/>
      </c>
      <c r="C85" s="17"/>
      <c r="D85" s="18"/>
      <c r="E85" s="17"/>
      <c r="F85" s="19"/>
      <c r="G85" s="19"/>
      <c r="H85" s="73" t="str">
        <f t="shared" si="7"/>
        <v/>
      </c>
      <c r="I85" s="260" t="str">
        <f t="shared" si="8"/>
        <v/>
      </c>
      <c r="J85" s="260" t="str">
        <f t="shared" si="9"/>
        <v/>
      </c>
      <c r="L85" s="73" t="str">
        <f t="shared" si="10"/>
        <v/>
      </c>
      <c r="M85" s="73" t="str">
        <f t="shared" si="11"/>
        <v/>
      </c>
      <c r="O85" s="19"/>
      <c r="P85" s="19"/>
      <c r="Q85" s="266"/>
      <c r="R85" s="19"/>
      <c r="S85" s="19"/>
      <c r="T85" s="28"/>
      <c r="U85" s="29"/>
      <c r="V85" s="266"/>
      <c r="W85" s="30"/>
    </row>
    <row r="86" spans="1:23">
      <c r="A86" s="260">
        <v>83</v>
      </c>
      <c r="B86" s="80" t="str">
        <f t="shared" si="6"/>
        <v/>
      </c>
      <c r="C86" s="17"/>
      <c r="D86" s="18"/>
      <c r="E86" s="17"/>
      <c r="F86" s="19"/>
      <c r="G86" s="19"/>
      <c r="H86" s="73" t="str">
        <f t="shared" si="7"/>
        <v/>
      </c>
      <c r="I86" s="260" t="str">
        <f t="shared" si="8"/>
        <v/>
      </c>
      <c r="J86" s="260" t="str">
        <f t="shared" si="9"/>
        <v/>
      </c>
      <c r="L86" s="73" t="str">
        <f t="shared" si="10"/>
        <v/>
      </c>
      <c r="M86" s="73" t="str">
        <f t="shared" si="11"/>
        <v/>
      </c>
      <c r="O86" s="19"/>
      <c r="P86" s="19"/>
      <c r="Q86" s="266"/>
      <c r="R86" s="19"/>
      <c r="S86" s="19"/>
      <c r="T86" s="28"/>
      <c r="U86" s="29"/>
      <c r="V86" s="266"/>
      <c r="W86" s="30"/>
    </row>
    <row r="87" spans="1:23">
      <c r="A87" s="260">
        <v>84</v>
      </c>
      <c r="B87" s="80" t="str">
        <f t="shared" si="6"/>
        <v/>
      </c>
      <c r="C87" s="17"/>
      <c r="D87" s="18"/>
      <c r="E87" s="17"/>
      <c r="F87" s="19"/>
      <c r="G87" s="19"/>
      <c r="H87" s="73" t="str">
        <f t="shared" si="7"/>
        <v/>
      </c>
      <c r="I87" s="260" t="str">
        <f t="shared" si="8"/>
        <v/>
      </c>
      <c r="J87" s="260" t="str">
        <f t="shared" si="9"/>
        <v/>
      </c>
      <c r="L87" s="73" t="str">
        <f t="shared" si="10"/>
        <v/>
      </c>
      <c r="M87" s="73" t="str">
        <f t="shared" si="11"/>
        <v/>
      </c>
      <c r="O87" s="19"/>
      <c r="P87" s="19"/>
      <c r="Q87" s="266"/>
      <c r="R87" s="19"/>
      <c r="S87" s="19"/>
      <c r="T87" s="28"/>
      <c r="U87" s="29"/>
      <c r="V87" s="266"/>
      <c r="W87" s="30"/>
    </row>
    <row r="88" spans="1:23">
      <c r="A88" s="260">
        <v>85</v>
      </c>
      <c r="B88" s="80" t="str">
        <f t="shared" si="6"/>
        <v/>
      </c>
      <c r="C88" s="17"/>
      <c r="D88" s="18"/>
      <c r="E88" s="17"/>
      <c r="F88" s="19"/>
      <c r="G88" s="19"/>
      <c r="H88" s="73" t="str">
        <f t="shared" si="7"/>
        <v/>
      </c>
      <c r="I88" s="260" t="str">
        <f t="shared" si="8"/>
        <v/>
      </c>
      <c r="J88" s="260" t="str">
        <f t="shared" si="9"/>
        <v/>
      </c>
      <c r="L88" s="73" t="str">
        <f t="shared" si="10"/>
        <v/>
      </c>
      <c r="M88" s="73" t="str">
        <f t="shared" si="11"/>
        <v/>
      </c>
      <c r="O88" s="19"/>
      <c r="P88" s="19"/>
      <c r="Q88" s="266"/>
      <c r="R88" s="19"/>
      <c r="S88" s="19"/>
      <c r="T88" s="28"/>
      <c r="U88" s="29"/>
      <c r="V88" s="266"/>
      <c r="W88" s="30"/>
    </row>
    <row r="89" spans="1:23">
      <c r="A89" s="260">
        <v>86</v>
      </c>
      <c r="B89" s="80" t="str">
        <f t="shared" si="6"/>
        <v/>
      </c>
      <c r="C89" s="17"/>
      <c r="D89" s="18"/>
      <c r="E89" s="17"/>
      <c r="F89" s="19"/>
      <c r="G89" s="19"/>
      <c r="H89" s="73" t="str">
        <f t="shared" si="7"/>
        <v/>
      </c>
      <c r="I89" s="260" t="str">
        <f t="shared" si="8"/>
        <v/>
      </c>
      <c r="J89" s="260" t="str">
        <f t="shared" si="9"/>
        <v/>
      </c>
      <c r="L89" s="73" t="str">
        <f t="shared" si="10"/>
        <v/>
      </c>
      <c r="M89" s="73" t="str">
        <f t="shared" si="11"/>
        <v/>
      </c>
      <c r="O89" s="19"/>
      <c r="P89" s="19"/>
      <c r="Q89" s="266"/>
      <c r="R89" s="19"/>
      <c r="S89" s="19"/>
      <c r="T89" s="28"/>
      <c r="U89" s="29"/>
      <c r="V89" s="266"/>
      <c r="W89" s="30"/>
    </row>
    <row r="90" spans="1:23">
      <c r="A90" s="260">
        <v>87</v>
      </c>
      <c r="B90" s="80" t="str">
        <f t="shared" si="6"/>
        <v/>
      </c>
      <c r="C90" s="17"/>
      <c r="D90" s="18"/>
      <c r="E90" s="17"/>
      <c r="F90" s="19"/>
      <c r="G90" s="19"/>
      <c r="H90" s="73" t="str">
        <f t="shared" si="7"/>
        <v/>
      </c>
      <c r="I90" s="260" t="str">
        <f t="shared" si="8"/>
        <v/>
      </c>
      <c r="J90" s="260" t="str">
        <f t="shared" si="9"/>
        <v/>
      </c>
      <c r="L90" s="73" t="str">
        <f t="shared" si="10"/>
        <v/>
      </c>
      <c r="M90" s="73" t="str">
        <f t="shared" si="11"/>
        <v/>
      </c>
      <c r="O90" s="19"/>
      <c r="P90" s="19"/>
      <c r="Q90" s="266"/>
      <c r="R90" s="19"/>
      <c r="S90" s="19"/>
      <c r="T90" s="28"/>
      <c r="U90" s="29"/>
      <c r="V90" s="266"/>
      <c r="W90" s="30"/>
    </row>
    <row r="91" spans="1:23">
      <c r="A91" s="260">
        <v>88</v>
      </c>
      <c r="B91" s="80" t="str">
        <f t="shared" si="6"/>
        <v/>
      </c>
      <c r="C91" s="17"/>
      <c r="D91" s="18"/>
      <c r="E91" s="17"/>
      <c r="F91" s="19"/>
      <c r="G91" s="19"/>
      <c r="H91" s="73" t="str">
        <f t="shared" si="7"/>
        <v/>
      </c>
      <c r="I91" s="260" t="str">
        <f t="shared" si="8"/>
        <v/>
      </c>
      <c r="J91" s="260" t="str">
        <f t="shared" si="9"/>
        <v/>
      </c>
      <c r="L91" s="73" t="str">
        <f t="shared" si="10"/>
        <v/>
      </c>
      <c r="M91" s="73" t="str">
        <f t="shared" si="11"/>
        <v/>
      </c>
      <c r="O91" s="19"/>
      <c r="P91" s="19"/>
      <c r="Q91" s="266"/>
      <c r="R91" s="19"/>
      <c r="S91" s="19"/>
      <c r="T91" s="28"/>
      <c r="U91" s="29"/>
      <c r="V91" s="266"/>
      <c r="W91" s="30"/>
    </row>
    <row r="92" spans="1:23">
      <c r="A92" s="260">
        <v>89</v>
      </c>
      <c r="B92" s="80" t="str">
        <f t="shared" si="6"/>
        <v/>
      </c>
      <c r="C92" s="17"/>
      <c r="D92" s="18"/>
      <c r="E92" s="17"/>
      <c r="F92" s="19"/>
      <c r="G92" s="19"/>
      <c r="H92" s="73" t="str">
        <f t="shared" si="7"/>
        <v/>
      </c>
      <c r="I92" s="260" t="str">
        <f t="shared" si="8"/>
        <v/>
      </c>
      <c r="J92" s="260" t="str">
        <f t="shared" si="9"/>
        <v/>
      </c>
      <c r="L92" s="73" t="str">
        <f t="shared" si="10"/>
        <v/>
      </c>
      <c r="M92" s="73" t="str">
        <f t="shared" si="11"/>
        <v/>
      </c>
      <c r="O92" s="19"/>
      <c r="P92" s="19"/>
      <c r="Q92" s="266"/>
      <c r="R92" s="19"/>
      <c r="S92" s="19"/>
      <c r="T92" s="28"/>
      <c r="U92" s="29"/>
      <c r="V92" s="266"/>
      <c r="W92" s="30"/>
    </row>
    <row r="93" spans="1:23">
      <c r="A93" s="260">
        <v>90</v>
      </c>
      <c r="B93" s="80" t="str">
        <f t="shared" si="6"/>
        <v/>
      </c>
      <c r="C93" s="17"/>
      <c r="D93" s="18"/>
      <c r="E93" s="17"/>
      <c r="F93" s="19"/>
      <c r="G93" s="19"/>
      <c r="H93" s="73" t="str">
        <f t="shared" si="7"/>
        <v/>
      </c>
      <c r="I93" s="260" t="str">
        <f t="shared" si="8"/>
        <v/>
      </c>
      <c r="J93" s="260" t="str">
        <f t="shared" si="9"/>
        <v/>
      </c>
      <c r="L93" s="73" t="str">
        <f t="shared" si="10"/>
        <v/>
      </c>
      <c r="M93" s="73" t="str">
        <f t="shared" si="11"/>
        <v/>
      </c>
      <c r="O93" s="19"/>
      <c r="P93" s="19"/>
      <c r="Q93" s="266"/>
      <c r="R93" s="19"/>
      <c r="S93" s="19"/>
      <c r="T93" s="28"/>
      <c r="U93" s="29"/>
      <c r="V93" s="266"/>
      <c r="W93" s="30"/>
    </row>
    <row r="94" spans="1:23">
      <c r="A94" s="260">
        <v>91</v>
      </c>
      <c r="B94" s="80" t="str">
        <f t="shared" si="6"/>
        <v/>
      </c>
      <c r="C94" s="17"/>
      <c r="D94" s="18"/>
      <c r="E94" s="17"/>
      <c r="F94" s="19"/>
      <c r="G94" s="19"/>
      <c r="H94" s="73" t="str">
        <f t="shared" si="7"/>
        <v/>
      </c>
      <c r="I94" s="260" t="str">
        <f t="shared" si="8"/>
        <v/>
      </c>
      <c r="J94" s="260" t="str">
        <f t="shared" si="9"/>
        <v/>
      </c>
      <c r="L94" s="73" t="str">
        <f t="shared" si="10"/>
        <v/>
      </c>
      <c r="M94" s="73" t="str">
        <f t="shared" si="11"/>
        <v/>
      </c>
      <c r="O94" s="19"/>
      <c r="P94" s="19"/>
      <c r="Q94" s="266"/>
      <c r="R94" s="19"/>
      <c r="S94" s="19"/>
      <c r="T94" s="28"/>
      <c r="U94" s="29"/>
      <c r="V94" s="266"/>
      <c r="W94" s="30"/>
    </row>
    <row r="95" spans="1:23">
      <c r="A95" s="260">
        <v>92</v>
      </c>
      <c r="B95" s="80" t="str">
        <f t="shared" si="6"/>
        <v/>
      </c>
      <c r="C95" s="17"/>
      <c r="D95" s="18"/>
      <c r="E95" s="17"/>
      <c r="F95" s="19"/>
      <c r="G95" s="19"/>
      <c r="H95" s="73" t="str">
        <f t="shared" si="7"/>
        <v/>
      </c>
      <c r="I95" s="260" t="str">
        <f t="shared" si="8"/>
        <v/>
      </c>
      <c r="J95" s="260" t="str">
        <f t="shared" si="9"/>
        <v/>
      </c>
      <c r="L95" s="73" t="str">
        <f t="shared" si="10"/>
        <v/>
      </c>
      <c r="M95" s="73" t="str">
        <f t="shared" si="11"/>
        <v/>
      </c>
      <c r="O95" s="19"/>
      <c r="P95" s="19"/>
      <c r="Q95" s="266"/>
      <c r="R95" s="19"/>
      <c r="S95" s="19"/>
      <c r="T95" s="28"/>
      <c r="U95" s="29"/>
      <c r="V95" s="266"/>
      <c r="W95" s="30"/>
    </row>
    <row r="96" spans="1:23">
      <c r="A96" s="260">
        <v>93</v>
      </c>
      <c r="B96" s="80" t="str">
        <f t="shared" si="6"/>
        <v/>
      </c>
      <c r="C96" s="17"/>
      <c r="D96" s="18"/>
      <c r="E96" s="17"/>
      <c r="F96" s="19"/>
      <c r="G96" s="19"/>
      <c r="H96" s="73" t="str">
        <f t="shared" si="7"/>
        <v/>
      </c>
      <c r="I96" s="260" t="str">
        <f t="shared" si="8"/>
        <v/>
      </c>
      <c r="J96" s="260" t="str">
        <f t="shared" si="9"/>
        <v/>
      </c>
      <c r="L96" s="73" t="str">
        <f t="shared" si="10"/>
        <v/>
      </c>
      <c r="M96" s="73" t="str">
        <f t="shared" si="11"/>
        <v/>
      </c>
      <c r="O96" s="19"/>
      <c r="P96" s="19"/>
      <c r="Q96" s="266"/>
      <c r="R96" s="19"/>
      <c r="S96" s="19"/>
      <c r="T96" s="28"/>
      <c r="U96" s="29"/>
      <c r="V96" s="266"/>
      <c r="W96" s="30"/>
    </row>
    <row r="97" spans="1:23">
      <c r="A97" s="260">
        <v>94</v>
      </c>
      <c r="B97" s="80" t="str">
        <f t="shared" si="6"/>
        <v/>
      </c>
      <c r="C97" s="17"/>
      <c r="D97" s="18"/>
      <c r="E97" s="17"/>
      <c r="F97" s="19"/>
      <c r="G97" s="19"/>
      <c r="H97" s="73" t="str">
        <f t="shared" si="7"/>
        <v/>
      </c>
      <c r="I97" s="260" t="str">
        <f t="shared" si="8"/>
        <v/>
      </c>
      <c r="J97" s="260" t="str">
        <f t="shared" si="9"/>
        <v/>
      </c>
      <c r="L97" s="73" t="str">
        <f t="shared" si="10"/>
        <v/>
      </c>
      <c r="M97" s="73" t="str">
        <f t="shared" si="11"/>
        <v/>
      </c>
      <c r="O97" s="19"/>
      <c r="P97" s="19"/>
      <c r="Q97" s="266"/>
      <c r="R97" s="19"/>
      <c r="S97" s="19"/>
      <c r="T97" s="28"/>
      <c r="U97" s="29"/>
      <c r="V97" s="266"/>
      <c r="W97" s="30"/>
    </row>
    <row r="98" spans="1:23">
      <c r="A98" s="260">
        <v>95</v>
      </c>
      <c r="B98" s="80" t="str">
        <f t="shared" si="6"/>
        <v/>
      </c>
      <c r="C98" s="17"/>
      <c r="D98" s="18"/>
      <c r="E98" s="17"/>
      <c r="F98" s="19"/>
      <c r="G98" s="19"/>
      <c r="H98" s="73" t="str">
        <f t="shared" si="7"/>
        <v/>
      </c>
      <c r="I98" s="260" t="str">
        <f t="shared" si="8"/>
        <v/>
      </c>
      <c r="J98" s="260" t="str">
        <f t="shared" si="9"/>
        <v/>
      </c>
      <c r="L98" s="73" t="str">
        <f t="shared" si="10"/>
        <v/>
      </c>
      <c r="M98" s="73" t="str">
        <f t="shared" si="11"/>
        <v/>
      </c>
      <c r="O98" s="19"/>
      <c r="P98" s="19"/>
      <c r="Q98" s="266"/>
      <c r="R98" s="19"/>
      <c r="S98" s="19"/>
      <c r="T98" s="28"/>
      <c r="U98" s="29"/>
      <c r="V98" s="266"/>
      <c r="W98" s="30"/>
    </row>
    <row r="99" spans="1:23">
      <c r="A99" s="260">
        <v>96</v>
      </c>
      <c r="B99" s="80" t="str">
        <f t="shared" si="6"/>
        <v/>
      </c>
      <c r="C99" s="17"/>
      <c r="D99" s="18"/>
      <c r="E99" s="17"/>
      <c r="F99" s="19"/>
      <c r="G99" s="19"/>
      <c r="H99" s="73" t="str">
        <f t="shared" si="7"/>
        <v/>
      </c>
      <c r="I99" s="260" t="str">
        <f t="shared" si="8"/>
        <v/>
      </c>
      <c r="J99" s="260" t="str">
        <f t="shared" si="9"/>
        <v/>
      </c>
      <c r="L99" s="73" t="str">
        <f t="shared" si="10"/>
        <v/>
      </c>
      <c r="M99" s="73" t="str">
        <f t="shared" si="11"/>
        <v/>
      </c>
      <c r="O99" s="19"/>
      <c r="P99" s="19"/>
      <c r="Q99" s="266"/>
      <c r="R99" s="19"/>
      <c r="S99" s="19"/>
      <c r="T99" s="28"/>
      <c r="U99" s="29"/>
      <c r="V99" s="266"/>
      <c r="W99" s="30"/>
    </row>
    <row r="100" spans="1:23">
      <c r="A100" s="260">
        <v>97</v>
      </c>
      <c r="B100" s="80" t="str">
        <f t="shared" si="6"/>
        <v/>
      </c>
      <c r="C100" s="17"/>
      <c r="D100" s="18"/>
      <c r="E100" s="17"/>
      <c r="F100" s="19"/>
      <c r="G100" s="19"/>
      <c r="H100" s="73" t="str">
        <f t="shared" si="7"/>
        <v/>
      </c>
      <c r="I100" s="260" t="str">
        <f t="shared" si="8"/>
        <v/>
      </c>
      <c r="J100" s="260" t="str">
        <f t="shared" si="9"/>
        <v/>
      </c>
      <c r="L100" s="73" t="str">
        <f t="shared" si="10"/>
        <v/>
      </c>
      <c r="M100" s="73" t="str">
        <f t="shared" si="11"/>
        <v/>
      </c>
      <c r="O100" s="19"/>
      <c r="P100" s="19"/>
      <c r="Q100" s="266"/>
      <c r="R100" s="19"/>
      <c r="S100" s="19"/>
      <c r="T100" s="28"/>
      <c r="U100" s="29"/>
      <c r="V100" s="266"/>
      <c r="W100" s="30"/>
    </row>
    <row r="101" spans="1:23">
      <c r="A101" s="260">
        <v>98</v>
      </c>
      <c r="B101" s="80" t="str">
        <f t="shared" si="6"/>
        <v/>
      </c>
      <c r="C101" s="17"/>
      <c r="D101" s="18"/>
      <c r="E101" s="17"/>
      <c r="F101" s="19"/>
      <c r="G101" s="19"/>
      <c r="H101" s="73" t="str">
        <f t="shared" si="7"/>
        <v/>
      </c>
      <c r="I101" s="260" t="str">
        <f t="shared" si="8"/>
        <v/>
      </c>
      <c r="J101" s="260" t="str">
        <f t="shared" si="9"/>
        <v/>
      </c>
      <c r="L101" s="73" t="str">
        <f t="shared" si="10"/>
        <v/>
      </c>
      <c r="M101" s="73" t="str">
        <f t="shared" si="11"/>
        <v/>
      </c>
      <c r="O101" s="19"/>
      <c r="P101" s="19"/>
      <c r="Q101" s="266"/>
      <c r="R101" s="19"/>
      <c r="S101" s="19"/>
      <c r="T101" s="28"/>
      <c r="U101" s="29"/>
      <c r="V101" s="266"/>
      <c r="W101" s="30"/>
    </row>
    <row r="102" spans="1:23">
      <c r="A102" s="260">
        <v>99</v>
      </c>
      <c r="B102" s="80" t="str">
        <f t="shared" si="6"/>
        <v/>
      </c>
      <c r="C102" s="17"/>
      <c r="D102" s="18"/>
      <c r="E102" s="17"/>
      <c r="F102" s="19"/>
      <c r="G102" s="19"/>
      <c r="H102" s="73" t="str">
        <f t="shared" si="7"/>
        <v/>
      </c>
      <c r="I102" s="260" t="str">
        <f t="shared" si="8"/>
        <v/>
      </c>
      <c r="J102" s="260" t="str">
        <f t="shared" si="9"/>
        <v/>
      </c>
      <c r="L102" s="73" t="str">
        <f t="shared" si="10"/>
        <v/>
      </c>
      <c r="M102" s="73" t="str">
        <f t="shared" si="11"/>
        <v/>
      </c>
      <c r="O102" s="19"/>
      <c r="P102" s="19"/>
      <c r="Q102" s="266"/>
      <c r="R102" s="19"/>
      <c r="S102" s="19"/>
      <c r="T102" s="28"/>
      <c r="U102" s="29"/>
      <c r="V102" s="266"/>
      <c r="W102" s="30"/>
    </row>
    <row r="103" spans="1:23">
      <c r="A103" s="260">
        <v>100</v>
      </c>
      <c r="B103" s="80" t="str">
        <f t="shared" si="6"/>
        <v/>
      </c>
      <c r="C103" s="17"/>
      <c r="D103" s="18"/>
      <c r="E103" s="17"/>
      <c r="F103" s="19"/>
      <c r="G103" s="19"/>
      <c r="H103" s="73" t="str">
        <f t="shared" si="7"/>
        <v/>
      </c>
      <c r="I103" s="260" t="str">
        <f t="shared" si="8"/>
        <v/>
      </c>
      <c r="J103" s="260" t="str">
        <f t="shared" si="9"/>
        <v/>
      </c>
      <c r="L103" s="73" t="str">
        <f t="shared" si="10"/>
        <v/>
      </c>
      <c r="M103" s="73" t="str">
        <f t="shared" si="11"/>
        <v/>
      </c>
      <c r="O103" s="19"/>
      <c r="P103" s="19"/>
      <c r="Q103" s="266"/>
      <c r="R103" s="19"/>
      <c r="S103" s="19"/>
      <c r="T103" s="28"/>
      <c r="U103" s="29"/>
      <c r="V103" s="266"/>
      <c r="W103" s="31"/>
    </row>
    <row r="104" spans="1:23">
      <c r="B104" s="81">
        <v>1</v>
      </c>
      <c r="C104" s="81">
        <v>2</v>
      </c>
      <c r="D104" s="81">
        <v>3</v>
      </c>
      <c r="E104" s="81">
        <v>4</v>
      </c>
      <c r="F104" s="81">
        <v>5</v>
      </c>
      <c r="G104" s="81">
        <v>6</v>
      </c>
      <c r="H104" s="81">
        <v>7</v>
      </c>
      <c r="I104" s="81">
        <v>8</v>
      </c>
      <c r="J104" s="81">
        <v>9</v>
      </c>
      <c r="K104" s="81">
        <v>10</v>
      </c>
      <c r="L104" s="81">
        <v>11</v>
      </c>
      <c r="M104" s="81">
        <v>12</v>
      </c>
      <c r="N104" s="81">
        <v>13</v>
      </c>
      <c r="O104" s="81">
        <v>14</v>
      </c>
      <c r="P104" s="81">
        <v>15</v>
      </c>
      <c r="Q104" s="81">
        <v>16</v>
      </c>
      <c r="R104" s="81">
        <v>17</v>
      </c>
      <c r="S104" s="81">
        <v>18</v>
      </c>
      <c r="T104" s="81">
        <v>19</v>
      </c>
      <c r="U104" s="81">
        <v>20</v>
      </c>
      <c r="V104" s="81">
        <v>21</v>
      </c>
      <c r="W104" s="81">
        <v>22</v>
      </c>
    </row>
    <row r="105" spans="1:23">
      <c r="C105" s="72"/>
      <c r="D105" s="83" t="s">
        <v>27</v>
      </c>
      <c r="E105" s="84" t="s">
        <v>28</v>
      </c>
      <c r="F105" s="83" t="s">
        <v>29</v>
      </c>
      <c r="G105" s="83" t="s">
        <v>210</v>
      </c>
      <c r="H105" s="260" t="s">
        <v>30</v>
      </c>
    </row>
    <row r="106" spans="1:23">
      <c r="C106" s="85" t="s">
        <v>25</v>
      </c>
      <c r="D106" s="73">
        <f>COUNTIF($J$4:$J$103,1)</f>
        <v>0</v>
      </c>
      <c r="E106" s="73">
        <f>COUNTIF($J$4:$J$103,3)</f>
        <v>0</v>
      </c>
      <c r="F106" s="73">
        <f>COUNTIF($J$4:$J$103,5)</f>
        <v>0</v>
      </c>
      <c r="G106" s="73">
        <f>COUNTIF($J$4:$J$103,7)</f>
        <v>0</v>
      </c>
      <c r="H106" s="86">
        <f>COUNTIF($D$4:$D$103,1)</f>
        <v>0</v>
      </c>
    </row>
    <row r="107" spans="1:23">
      <c r="C107" s="85" t="s">
        <v>26</v>
      </c>
      <c r="D107" s="73">
        <f>COUNTIF($J$4:$J$103,2)</f>
        <v>0</v>
      </c>
      <c r="E107" s="73">
        <f>COUNTIF($J$4:$J$103,4)</f>
        <v>0</v>
      </c>
      <c r="F107" s="73">
        <f>COUNTIF($J$4:$J$103,6)</f>
        <v>0</v>
      </c>
      <c r="G107" s="73">
        <f>COUNTIF($J$4:$J$103,8)</f>
        <v>0</v>
      </c>
      <c r="H107" s="86">
        <f>COUNTIF($D$4:$D$103,2)</f>
        <v>0</v>
      </c>
    </row>
    <row r="108" spans="1:23">
      <c r="C108" s="72" t="s">
        <v>30</v>
      </c>
      <c r="D108" s="87">
        <f>COUNTIF($C$4:$C$103,B1)</f>
        <v>0</v>
      </c>
      <c r="E108" s="87">
        <f>COUNTIF($C$4:$C$103,B1-1)</f>
        <v>0</v>
      </c>
      <c r="F108" s="87">
        <f>COUNTIF($C$4:$C$103,B1-2)</f>
        <v>0</v>
      </c>
      <c r="G108" s="87">
        <f>COUNTIF($C$4:$C$103,C1-2)</f>
        <v>0</v>
      </c>
      <c r="H108" s="88"/>
    </row>
  </sheetData>
  <sheetProtection password="CC71" sheet="1" objects="1" scenarios="1"/>
  <dataConsolidate/>
  <mergeCells count="3">
    <mergeCell ref="O2:P2"/>
    <mergeCell ref="R2:U2"/>
    <mergeCell ref="G1:P1"/>
  </mergeCells>
  <phoneticPr fontId="2"/>
  <dataValidations count="6">
    <dataValidation type="whole" errorStyle="warning" allowBlank="1" showInputMessage="1" showErrorMessage="1" errorTitle=" 入力エラー" error="半角数字で「1～99」までの数字を入力してください。" sqref="E4:E103">
      <formula1>1</formula1>
      <formula2>99</formula2>
    </dataValidation>
    <dataValidation imeMode="on" allowBlank="1" showInputMessage="1" showErrorMessage="1" sqref="F4:G103"/>
    <dataValidation imeMode="hiragana" allowBlank="1" showInputMessage="1" showErrorMessage="1" sqref="R4:S103"/>
    <dataValidation type="list" allowBlank="1" showInputMessage="1" showErrorMessage="1" sqref="W4:W103">
      <formula1>"1-希望する,2-希望しない"</formula1>
    </dataValidation>
    <dataValidation type="whole" allowBlank="1" showInputMessage="1" showErrorMessage="1" sqref="D4:D103">
      <formula1>1</formula1>
      <formula2>2</formula2>
    </dataValidation>
    <dataValidation type="whole" allowBlank="1" showInputMessage="1" showErrorMessage="1" sqref="C4:C103">
      <formula1>0</formula1>
      <formula2>99</formula2>
    </dataValidation>
  </dataValidations>
  <printOptions horizontalCentered="1"/>
  <pageMargins left="0" right="0" top="0" bottom="0" header="0" footer="0"/>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5"/>
  </sheetPr>
  <dimension ref="A1:L134"/>
  <sheetViews>
    <sheetView zoomScaleNormal="100" zoomScaleSheetLayoutView="118" workbookViewId="0"/>
  </sheetViews>
  <sheetFormatPr defaultColWidth="9" defaultRowHeight="12.75"/>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9" width="4.25" style="143" customWidth="1"/>
    <col min="10" max="10" width="6.125" style="143" customWidth="1"/>
    <col min="11" max="16384" width="9" style="143"/>
  </cols>
  <sheetData>
    <row r="1" spans="1:12" ht="7.5" customHeight="1"/>
    <row r="2" spans="1:12" ht="22.5" customHeight="1">
      <c r="A2" s="382" t="s">
        <v>518</v>
      </c>
      <c r="B2" s="252">
        <v>1</v>
      </c>
      <c r="C2" s="424" t="str">
        <f>IF(登!B1=19,"平成31年度",日!B1)&amp;"県高等学校弓道春季大会"</f>
        <v>平成31年度県高等学校弓道春季大会</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532</v>
      </c>
    </row>
    <row r="5" spans="1:12" ht="12.75" customHeight="1">
      <c r="B5" s="144"/>
      <c r="C5" s="144"/>
      <c r="D5" s="145"/>
      <c r="E5" s="145"/>
      <c r="F5" s="145"/>
      <c r="G5" s="145"/>
      <c r="K5" s="253" t="str">
        <f>SUBSTITUTE(SUBSTITUTE(K4," ",""),"　","")</f>
        <v>○○</v>
      </c>
      <c r="L5" s="253" t="str">
        <f>SUBSTITUTE(SUBSTITUTE(L4," ",""),"　","")</f>
        <v>○○</v>
      </c>
    </row>
    <row r="6" spans="1:12" ht="12.75" customHeight="1">
      <c r="B6" s="411" t="s">
        <v>39</v>
      </c>
      <c r="C6" s="411"/>
      <c r="D6" s="427">
        <v>1</v>
      </c>
      <c r="E6" s="427"/>
      <c r="F6" s="427"/>
      <c r="G6" s="427"/>
    </row>
    <row r="7" spans="1:12" ht="12.75" customHeight="1">
      <c r="B7" s="411" t="s">
        <v>40</v>
      </c>
      <c r="C7" s="411"/>
      <c r="D7" s="422">
        <f>VLOOKUP(D6,日!$B$2:$F$111,3,0)</f>
        <v>43573</v>
      </c>
      <c r="E7" s="423"/>
      <c r="F7" s="416" t="str">
        <f>TEXT(WEEKDAY(D7,1),"aaaa")&amp;"　１６時"</f>
        <v>木曜日　１６時</v>
      </c>
      <c r="G7" s="417"/>
    </row>
    <row r="8" spans="1:12" ht="12.75" customHeight="1">
      <c r="B8" s="411" t="s">
        <v>38</v>
      </c>
      <c r="C8" s="411"/>
      <c r="D8" s="418">
        <f>VLOOKUP(D6,日!$B$2:$F$111,5,0)</f>
        <v>43583</v>
      </c>
      <c r="E8" s="419"/>
      <c r="F8" s="420" t="str">
        <f>TEXT(WEEKDAY(D8,1),"aaaa")</f>
        <v>日曜日</v>
      </c>
      <c r="G8" s="421"/>
    </row>
    <row r="9" spans="1:12" ht="12.75" customHeight="1">
      <c r="B9" s="411" t="s">
        <v>41</v>
      </c>
      <c r="C9" s="411"/>
      <c r="D9" s="412" t="s">
        <v>45</v>
      </c>
      <c r="E9" s="413"/>
      <c r="F9" s="395" t="s">
        <v>46</v>
      </c>
      <c r="G9" s="396"/>
    </row>
    <row r="10" spans="1:12" ht="12.75" customHeight="1">
      <c r="B10" s="147"/>
      <c r="C10" s="147"/>
      <c r="D10" s="146"/>
      <c r="E10" s="146"/>
      <c r="F10" s="146"/>
      <c r="G10" s="146"/>
    </row>
    <row r="11" spans="1:12" ht="22.5" customHeight="1">
      <c r="B11" s="414" t="str">
        <f>IF(B2=1,"男　子　団　体　参　加　申　込　書","女　子　団　体　参　加　申　込　書")</f>
        <v>男　子　団　体　参　加　申　込　書</v>
      </c>
      <c r="C11" s="414"/>
      <c r="D11" s="414"/>
      <c r="E11" s="414"/>
      <c r="F11" s="414"/>
      <c r="G11" s="414"/>
    </row>
    <row r="12" spans="1:12" ht="12.75" customHeight="1">
      <c r="A12" s="252" t="s">
        <v>32</v>
      </c>
      <c r="B12" s="148" t="s">
        <v>18</v>
      </c>
      <c r="C12" s="149" t="s">
        <v>10</v>
      </c>
      <c r="D12" s="150" t="s">
        <v>33</v>
      </c>
      <c r="E12" s="151" t="s">
        <v>12</v>
      </c>
      <c r="F12" s="152" t="s">
        <v>13</v>
      </c>
      <c r="G12" s="153" t="s">
        <v>14</v>
      </c>
      <c r="H12" s="252" t="s">
        <v>47</v>
      </c>
    </row>
    <row r="13" spans="1:12" ht="12.75" customHeight="1">
      <c r="A13" s="154" t="str">
        <f>IF(D13="","",IF($B$2=1,IF(COUNT($D$13:$D$16)=1,VLOOKUP(登!$D$1,立男!$A$4:$I$100,4,0)+100,VLOOKUP(登!$D$1,立男!$A$4:$I$100,4,0)),IF(COUNT($D$13:$D$16)=1,VLOOKUP(登!$D$1,立女!$A$4:$I$100,4,0)+100,VLOOKUP(登!$D$1,立女!$A$4:$I$100,4,0))))</f>
        <v/>
      </c>
      <c r="B13" s="155" t="s">
        <v>19</v>
      </c>
      <c r="C13" s="156" t="str">
        <f>IF(D13="","",登!$F$1)</f>
        <v/>
      </c>
      <c r="D13" s="63"/>
      <c r="E13" s="157">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4" t="str">
        <f t="shared" ref="H13:H20" si="0">IF(D13="","",IF(COUNTIF($D$13:$D$20,D13)+COUNTIF($D$26:$D$58,D13)&gt;1,"選手重複!!","OK"))</f>
        <v/>
      </c>
    </row>
    <row r="14" spans="1:12" ht="12.75" customHeight="1">
      <c r="A14" s="160" t="str">
        <f>IF(D13="","",IF($B$2=1,IF(COUNT($D$13:$D$16)=1,VLOOKUP(登!$D$1,立男!$A$4:$I$100,4,0)+100,VLOOKUP(登!$D$1,立男!$A$4:$I$100,4,0)),IF(COUNT($D$13:$D$16)=1,VLOOKUP(登!$D$1,立女!$A$4:$I$100,4,0)+100,VLOOKUP(登!$D$1,立女!$A$4:$I$100,4,0))))</f>
        <v/>
      </c>
      <c r="B14" s="161" t="s">
        <v>19</v>
      </c>
      <c r="C14" s="162" t="str">
        <f>IF(D14="","",登!$F$1)</f>
        <v/>
      </c>
      <c r="D14" s="64"/>
      <c r="E14" s="163">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0" t="str">
        <f t="shared" si="0"/>
        <v/>
      </c>
    </row>
    <row r="15" spans="1:12" ht="12.75" customHeight="1">
      <c r="A15" s="160" t="str">
        <f>IF(D13="","",IF($B$2=1,IF(COUNT($D$13:$D$16)=1,VLOOKUP(登!$D$1,立男!$A$4:$I$100,4,0)+100,VLOOKUP(登!$D$1,立男!$A$4:$I$100,4,0)),IF(COUNT($D$13:$D$16)=1,VLOOKUP(登!$D$1,立女!$A$4:$I$100,4,0)+100,VLOOKUP(登!$D$1,立女!$A$4:$I$100,4,0))))</f>
        <v/>
      </c>
      <c r="B15" s="161" t="s">
        <v>16</v>
      </c>
      <c r="C15" s="162" t="str">
        <f>IF(D15="","",登!$F$1)</f>
        <v/>
      </c>
      <c r="D15" s="64"/>
      <c r="E15" s="163">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0" t="str">
        <f t="shared" si="0"/>
        <v/>
      </c>
    </row>
    <row r="16" spans="1:12" ht="12.75" customHeight="1">
      <c r="A16" s="166" t="str">
        <f>IF(D13="","",IF($B$2=1,IF(COUNT($D$13:$D$16)=1,VLOOKUP(登!$D$1,立男!$A$4:$I$100,4,0)+100,VLOOKUP(登!$D$1,立男!$A$4:$I$100,4,0)),IF(COUNT($D$13:$D$16)=1,VLOOKUP(登!$D$1,立女!$A$4:$I$100,4,0)+100,VLOOKUP(登!$D$1,立女!$A$4:$I$100,4,0))))</f>
        <v/>
      </c>
      <c r="B16" s="167" t="s">
        <v>19</v>
      </c>
      <c r="C16" s="168" t="str">
        <f>IF(D16="","",登!$F$1)</f>
        <v/>
      </c>
      <c r="D16" s="65"/>
      <c r="E16" s="169">
        <v>4</v>
      </c>
      <c r="F16" s="170" t="str">
        <f>IF(D16="","",IF(COUNTIF($D$13:D16,"")&gt;0,"大前から詰めて入力",IF(INT(VALUE(RIGHT(D16,3))/100)=$B$2,VLOOKUP(D16,登!$B$4:$I$103,7,0),"部員番号入力ミス")))</f>
        <v/>
      </c>
      <c r="G16" s="171" t="str">
        <f>IF(D16="","",IF(INT(VALUE(RIGHT(D16,3))/100)=$B$2,IF(VLOOKUP(D16,登!$B$4:$I$103,2,0)=登!$B$1,1,IF(VLOOKUP(D16,登!$B$4:$I$103,2,0)=登!$B$1-1,2,IF(VLOOKUP(D16,登!$B$4:$I$103,2,0)=登!$B$1-2,3,"学年ミス"))),"番号ミス"))</f>
        <v/>
      </c>
      <c r="H16" s="166" t="str">
        <f t="shared" si="0"/>
        <v/>
      </c>
    </row>
    <row r="17" spans="1:8" ht="12.75" customHeight="1">
      <c r="A17" s="154" t="str">
        <f>IF(D17="","",IF($B$2=1,IF(COUNT($D$17:$D$20)=1,VLOOKUP(登!$D$1,立男!$A$4:$I$100,4,0)+200,VLOOKUP(登!$D$1,立男!$A$4:$I$100,4,0)+300),IF(COUNT($D$17:$D$20)=1,VLOOKUP(登!$D$1,立女!$A$4:$I$100,4,0)+200,VLOOKUP(登!$D$1,立女!$A$4:$I$100,4,0)+300)))</f>
        <v/>
      </c>
      <c r="B17" s="155" t="s">
        <v>20</v>
      </c>
      <c r="C17" s="156" t="str">
        <f>IF(D17="","",登!$F$1)</f>
        <v/>
      </c>
      <c r="D17" s="63"/>
      <c r="E17" s="157">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4" t="str">
        <f t="shared" si="0"/>
        <v/>
      </c>
    </row>
    <row r="18" spans="1:8" ht="12.75" customHeight="1">
      <c r="A18" s="160" t="str">
        <f>IF(D17="","",IF($B$2=1,IF(COUNT($D$17:$D$20)=1,VLOOKUP(登!$D$1,立男!$A$4:$I$100,4,0)+200,VLOOKUP(登!$D$1,立男!$A$4:$I$100,4,0)+300),IF(COUNT($D$17:$D$20)=1,VLOOKUP(登!$D$1,立女!$A$4:$I$100,4,0)+200,VLOOKUP(登!$D$1,立女!$A$4:$I$100,4,0)+300)))</f>
        <v/>
      </c>
      <c r="B18" s="161" t="s">
        <v>20</v>
      </c>
      <c r="C18" s="162" t="str">
        <f>IF(D18="","",登!$F$1)</f>
        <v/>
      </c>
      <c r="D18" s="64"/>
      <c r="E18" s="163">
        <v>6</v>
      </c>
      <c r="F18" s="164" t="str">
        <f>IF(D18="","",IF(COUNTIF($D$13:$D$16,"")=4,"Ａチームから入力",IF(COUNTIF($D$17:D18,"")&gt;0,"大前から詰めて入力",IF(INT(VALUE(RIGHT(D18,3))/100)=$B$2,VLOOKUP(D18,登!$B$4:$I$103,7,0),"部員番号入力ミス"))))</f>
        <v/>
      </c>
      <c r="G18" s="165" t="str">
        <f>IF(D18="","",IF(INT(VALUE(RIGHT(D18,3))/100)=$B$2,IF(VLOOKUP(D18,登!$B$4:$I$103,2,0)=登!$B$1,1,IF(VLOOKUP(D18,登!$B$4:$I$103,2,0)=登!$B$1-1,2,IF(VLOOKUP(D18,登!$B$4:$I$103,2,0)=登!$B$1-2,3,"学年ミス"))),"番号ミス"))</f>
        <v/>
      </c>
      <c r="H18" s="160" t="str">
        <f t="shared" si="0"/>
        <v/>
      </c>
    </row>
    <row r="19" spans="1:8" ht="12.75" customHeight="1">
      <c r="A19" s="160" t="str">
        <f>IF(D17="","",IF($B$2=1,IF(COUNT($D$17:$D$20)=1,VLOOKUP(登!$D$1,立男!$A$4:$I$100,4,0)+200,VLOOKUP(登!$D$1,立男!$A$4:$I$100,4,0)+300),IF(COUNT($D$17:$D$20)=1,VLOOKUP(登!$D$1,立女!$A$4:$I$100,4,0)+200,VLOOKUP(登!$D$1,立女!$A$4:$I$100,4,0)+300)))</f>
        <v/>
      </c>
      <c r="B19" s="161" t="s">
        <v>17</v>
      </c>
      <c r="C19" s="162" t="str">
        <f>IF(D19="","",登!$F$1)</f>
        <v/>
      </c>
      <c r="D19" s="64"/>
      <c r="E19" s="163">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0" t="str">
        <f t="shared" si="0"/>
        <v/>
      </c>
    </row>
    <row r="20" spans="1:8" ht="12.75" customHeight="1">
      <c r="A20" s="166" t="str">
        <f>IF(D17="","",IF($B$2=1,IF(COUNT($D$17:$D$20)=1,VLOOKUP(登!$D$1,立男!$A$4:$I$100,4,0)+200,VLOOKUP(登!$D$1,立男!$A$4:$I$100,4,0)+300),IF(COUNT($D$17:$D$20)=1,VLOOKUP(登!$D$1,立女!$A$4:$I$100,4,0)+200,VLOOKUP(登!$D$1,立女!$A$4:$I$100,4,0)+300)))</f>
        <v/>
      </c>
      <c r="B20" s="167" t="s">
        <v>20</v>
      </c>
      <c r="C20" s="168" t="str">
        <f>IF(D20="","",登!$F$1)</f>
        <v/>
      </c>
      <c r="D20" s="65"/>
      <c r="E20" s="169">
        <v>8</v>
      </c>
      <c r="F20" s="170" t="str">
        <f>IF(D20="","",IF(COUNTIF($D$13:$D$16,"")=4,"Ａチームから入力",IF(COUNTIF($D$17:D20,"")&gt;0,"大前から詰めて入力",IF(INT(VALUE(RIGHT(D20,3))/100)=$B$2,VLOOKUP(D20,登!$B$4:$I$103,7,0),"部員番号入力ミス"))))</f>
        <v/>
      </c>
      <c r="G20" s="171" t="str">
        <f>IF(D20="","",IF(INT(VALUE(RIGHT(D20,3))/100)=$B$2,IF(VLOOKUP(D20,登!$B$4:$I$103,2,0)=登!$B$1,1,IF(VLOOKUP(D20,登!$B$4:$I$103,2,0)=登!$B$1-1,2,IF(VLOOKUP(D20,登!$B$4:$I$103,2,0)=登!$B$1-2,3,"学年ミス"))),"番号ミス"))</f>
        <v/>
      </c>
      <c r="H20" s="166" t="str">
        <f t="shared" si="0"/>
        <v/>
      </c>
    </row>
    <row r="21" spans="1:8" ht="12.75" customHeight="1">
      <c r="A21" s="154" t="str">
        <f>IF(COUNT($D$21:$D$22)=0,"",IF($B$2=1,VLOOKUP(登!$D$1,立男!$A$4:$I$100,4,0)+500,VLOOKUP(登!$D$1,立女!$A$4:$I$100,4,0)+500))</f>
        <v/>
      </c>
      <c r="B21" s="155" t="s">
        <v>19</v>
      </c>
      <c r="C21" s="156" t="str">
        <f>IF(D21="","",登!$F$1)</f>
        <v/>
      </c>
      <c r="D21" s="172" t="str">
        <f>IF(D16="","",D16)</f>
        <v/>
      </c>
      <c r="E21" s="157">
        <v>4</v>
      </c>
      <c r="F21" s="173" t="str">
        <f>IF(F16="","",F16)</f>
        <v/>
      </c>
      <c r="G21" s="159" t="str">
        <f>IF(D21="","",IF(INT(VALUE(RIGHT(D21,3))/100)=$B$2,IF(VLOOKUP(D21,登!$B$4:$I$103,2,0)=登!$B$1,1,IF(VLOOKUP(D21,登!$B$4:$I$103,2,0)=登!$B$1-1,2,IF(VLOOKUP(D21,登!$B$4:$I$103,2,0)=登!$B$1-2,3,"学年ミス"))),"番号ミス"))</f>
        <v/>
      </c>
      <c r="H21" s="174" t="s">
        <v>519</v>
      </c>
    </row>
    <row r="22" spans="1:8" ht="12.75" customHeight="1">
      <c r="A22" s="175" t="str">
        <f>IF(COUNT($D$21:$D$22)=0,"",IF($B$2=1,VLOOKUP(登!$D$1,立男!$A$4:$I$100,4,0)+500,VLOOKUP(登!$D$1,立女!$A$4:$I$100,4,0)+500))</f>
        <v/>
      </c>
      <c r="B22" s="176" t="s">
        <v>20</v>
      </c>
      <c r="C22" s="177" t="str">
        <f>IF(D22="","",登!$F$1)</f>
        <v/>
      </c>
      <c r="D22" s="178" t="str">
        <f>IF(D20="","",D20)</f>
        <v/>
      </c>
      <c r="E22" s="179">
        <v>8</v>
      </c>
      <c r="F22" s="180" t="str">
        <f>IF(F20="","",F20)</f>
        <v/>
      </c>
      <c r="G22" s="181" t="str">
        <f>IF(D22="","",IF(INT(VALUE(RIGHT(D22,3))/100)=$B$2,IF(VLOOKUP(D22,登!$B$4:$I$103,2,0)=登!$B$1,1,IF(VLOOKUP(D22,登!$B$4:$I$103,2,0)=登!$B$1-1,2,IF(VLOOKUP(D22,登!$B$4:$I$103,2,0)=登!$B$1-2,3,"学年ミス"))),"番号ミス"))</f>
        <v/>
      </c>
      <c r="H22" s="182" t="s">
        <v>520</v>
      </c>
    </row>
    <row r="23" spans="1:8" ht="12.75" customHeight="1">
      <c r="B23" s="183" t="s">
        <v>15</v>
      </c>
      <c r="C23" s="184"/>
      <c r="D23" s="184"/>
      <c r="E23" s="184"/>
      <c r="F23" s="184"/>
      <c r="G23" s="184"/>
    </row>
    <row r="24" spans="1:8" ht="22.5" customHeight="1">
      <c r="B24" s="414" t="str">
        <f>IF(B2=1,"男　子　個　人　参　加　申　込　書","女　子　個　人　参　加　申　込　書")</f>
        <v>男　子　個　人　参　加　申　込　書</v>
      </c>
      <c r="C24" s="414"/>
      <c r="D24" s="414"/>
      <c r="E24" s="414"/>
      <c r="F24" s="414"/>
      <c r="G24" s="414"/>
    </row>
    <row r="25" spans="1:8" ht="12.75" customHeight="1">
      <c r="A25" s="252" t="s">
        <v>32</v>
      </c>
      <c r="B25" s="148" t="s">
        <v>18</v>
      </c>
      <c r="C25" s="152" t="s">
        <v>10</v>
      </c>
      <c r="D25" s="150" t="s">
        <v>33</v>
      </c>
      <c r="E25" s="152" t="s">
        <v>12</v>
      </c>
      <c r="F25" s="152" t="s">
        <v>13</v>
      </c>
      <c r="G25" s="153" t="s">
        <v>14</v>
      </c>
      <c r="H25" s="252" t="s">
        <v>47</v>
      </c>
    </row>
    <row r="26" spans="1:8" ht="12.75" customHeight="1">
      <c r="A26" s="154" t="str">
        <f>IF($D$26="","",IF($B$2=1,IF(COUNT($D$26:$D$28)=3,VLOOKUP(登!$D$1,立男!$A$4:$I$100,4,0)+600,VLOOKUP(登!$D$1,立男!$A$4:$I$100,4,0)+700),IF(COUNT($D$26:$D$28)=3,VLOOKUP(登!$D$1,立女!$A$4:$I$100,4,0)+600,VLOOKUP(登!$D$1,立女!$A$4:$I$100,4,0)+700)))</f>
        <v/>
      </c>
      <c r="B26" s="155" t="s">
        <v>21</v>
      </c>
      <c r="C26" s="185" t="str">
        <f>IF(D26="","",登!$F$1)</f>
        <v/>
      </c>
      <c r="D26" s="63"/>
      <c r="E26" s="185">
        <v>9</v>
      </c>
      <c r="F26" s="158" t="str">
        <f>IF(D26="","",IF(OR(COUNTIF($D$13:$D$16,"")&gt;0,COUNTIF($D$17:$D$20,"")&gt;0),"団体から入力",IF(INT(VALUE(RIGHT(D26,3))/100)=$B$2,VLOOKUP(D26,登!$B$4:$I$103,7,0),"部員番号入力ミス")))</f>
        <v/>
      </c>
      <c r="G26" s="159" t="str">
        <f>IF(D26="","",IF(INT(VALUE(RIGHT(D26,3))/100)=$B$2,IF(VLOOKUP(D26,登!$B$4:$I$103,2,0)=登!$B$1,1,IF(VLOOKUP(D26,登!$B$4:$I$103,2,0)=登!$B$1-1,2,IF(VLOOKUP(D26,登!$B$4:$I$103,2,0)=登!$B$1-2,3,"学年ミス"))),"番号ミス"))</f>
        <v/>
      </c>
      <c r="H26" s="154" t="str">
        <f t="shared" ref="H26:H58" si="1">IF(D26="","",IF(COUNTIF($D$13:$D$20,D26)+COUNTIF($D$26:$D$58,D26)&gt;1,"選手重複!!","OK"))</f>
        <v/>
      </c>
    </row>
    <row r="27" spans="1:8" ht="12.75" customHeight="1">
      <c r="A27" s="160" t="str">
        <f>IF($D$26="","",IF($B$2=1,IF(COUNT($D$26:$D$28)=3,VLOOKUP(登!$D$1,立男!$A$4:$I$100,4,0)+600,VLOOKUP(登!$D$1,立男!$A$4:$I$100,4,0)+700),IF(COUNT($D$26:$D$28)=3,VLOOKUP(登!$D$1,立女!$A$4:$I$100,4,0)+600,VLOOKUP(登!$D$1,立女!$A$4:$I$100,4,0)+700)))</f>
        <v/>
      </c>
      <c r="B27" s="161" t="s">
        <v>21</v>
      </c>
      <c r="C27" s="186" t="str">
        <f>IF(D27="","",登!$F$1)</f>
        <v/>
      </c>
      <c r="D27" s="64"/>
      <c r="E27" s="186">
        <v>10</v>
      </c>
      <c r="F27" s="164" t="str">
        <f>IF(D27="","",IF(OR(COUNTIF($D$13:$D$16,"")&gt;0,COUNTIF($D$17:$D$20,"")&gt;0),"団体から入力",IF(COUNTIF($D$26:D27,"")&gt;0,"立順9から詰めて入力",IF(INT(VALUE(RIGHT(D27,3))/100)=$B$2,VLOOKUP(D27,登!$B$4:$I$103,7,0),"部員番号入力ミス"))))</f>
        <v/>
      </c>
      <c r="G27" s="165" t="str">
        <f>IF(D27="","",IF(INT(VALUE(RIGHT(D27,3))/100)=$B$2,IF(VLOOKUP(D27,登!$B$4:$I$103,2,0)=登!$B$1,1,IF(VLOOKUP(D27,登!$B$4:$I$103,2,0)=登!$B$1-1,2,IF(VLOOKUP(D27,登!$B$4:$I$103,2,0)=登!$B$1-2,3,"学年ミス"))),"番号ミス"))</f>
        <v/>
      </c>
      <c r="H27" s="160" t="str">
        <f t="shared" si="1"/>
        <v/>
      </c>
    </row>
    <row r="28" spans="1:8" ht="12.75" customHeight="1">
      <c r="A28" s="175" t="str">
        <f>IF($D$26="","",IF($B$2=1,IF(COUNT($D$26:$D$28)=3,VLOOKUP(登!$D$1,立男!$A$4:$I$100,4,0)+600,VLOOKUP(登!$D$1,立男!$A$4:$I$100,4,0)+700),IF(COUNT($D$26:$D$28)=3,VLOOKUP(登!$D$1,立女!$A$4:$I$100,4,0)+600,VLOOKUP(登!$D$1,立女!$A$4:$I$100,4,0)+700)))</f>
        <v/>
      </c>
      <c r="B28" s="176" t="s">
        <v>21</v>
      </c>
      <c r="C28" s="187" t="str">
        <f>IF(D28="","",登!$F$1)</f>
        <v/>
      </c>
      <c r="D28" s="66"/>
      <c r="E28" s="187">
        <v>11</v>
      </c>
      <c r="F28" s="188" t="str">
        <f>IF(D28="","",IF(OR(COUNTIF($D$13:$D$16,"")&gt;0,COUNTIF($D$17:$D$20,"")&gt;0),"団体から入力",IF(COUNTIF($D$26:D28,"")&gt;0,"立順9から詰めて入力",IF(INT(VALUE(RIGHT(D28,3))/100)=$B$2,VLOOKUP(D28,登!$B$4:$I$103,7,0),"部員番号入力ミス"))))</f>
        <v/>
      </c>
      <c r="G28" s="181" t="str">
        <f>IF(D28="","",IF(INT(VALUE(RIGHT(D28,3))/100)=$B$2,IF(VLOOKUP(D28,登!$B$4:$I$103,2,0)=登!$B$1,1,IF(VLOOKUP(D28,登!$B$4:$I$103,2,0)=登!$B$1-1,2,IF(VLOOKUP(D28,登!$B$4:$I$103,2,0)=登!$B$1-2,3,"学年ミス"))),"番号ミス"))</f>
        <v/>
      </c>
      <c r="H28" s="175" t="str">
        <f t="shared" si="1"/>
        <v/>
      </c>
    </row>
    <row r="29" spans="1:8" ht="12.75" customHeight="1">
      <c r="A29" s="154" t="str">
        <f>IF($D$29="","",IF($B$2=1,IF(COUNT($D$29:$D$31)=3,VLOOKUP(登!$D$1,立男!$A$4:$I$100,4,0)+800,VLOOKUP(登!$D$1,立男!$A$4:$I$100,4,0)+900),IF(COUNT($D$29:$D$31)=3,VLOOKUP(登!$D$1,立女!$A$4:$I$100,4,0)+800,VLOOKUP(登!$D$1,立女!$A$4:$I$100,4,0)+900)))</f>
        <v/>
      </c>
      <c r="B29" s="155" t="s">
        <v>21</v>
      </c>
      <c r="C29" s="185" t="str">
        <f>IF(D29="","",登!$F$1)</f>
        <v/>
      </c>
      <c r="D29" s="63"/>
      <c r="E29" s="185">
        <v>12</v>
      </c>
      <c r="F29" s="158" t="str">
        <f>IF(D29="","",IF(OR(COUNTIF($D$13:$D$16,"")&gt;0,COUNTIF($D$17:$D$20,"")&gt;0),"団体から入力",IF(COUNTIF($D$26:D29,"")&gt;0,"立順9から詰めて入力",IF(INT(VALUE(RIGHT(D29,3))/100)=$B$2,VLOOKUP(D29,登!$B$4:$I$103,7,0),"部員番号入力ミス"))))</f>
        <v/>
      </c>
      <c r="G29" s="159" t="str">
        <f>IF(D29="","",IF(INT(VALUE(RIGHT(D29,3))/100)=$B$2,IF(VLOOKUP(D29,登!$B$4:$I$103,2,0)=登!$B$1,1,IF(VLOOKUP(D29,登!$B$4:$I$103,2,0)=登!$B$1-1,2,IF(VLOOKUP(D29,登!$B$4:$I$103,2,0)=登!$B$1-2,3,"学年ミス"))),"番号ミス"))</f>
        <v/>
      </c>
      <c r="H29" s="154" t="str">
        <f t="shared" si="1"/>
        <v/>
      </c>
    </row>
    <row r="30" spans="1:8" ht="12.75" customHeight="1">
      <c r="A30" s="160" t="str">
        <f>IF($D$29="","",IF($B$2=1,IF(COUNT($D$29:$D$31)=3,VLOOKUP(登!$D$1,立男!$A$4:$I$100,4,0)+800,VLOOKUP(登!$D$1,立男!$A$4:$I$100,4,0)+900),IF(COUNT($D$29:$D$31)=3,VLOOKUP(登!$D$1,立女!$A$4:$I$100,4,0)+800,VLOOKUP(登!$D$1,立女!$A$4:$I$100,4,0)+900)))</f>
        <v/>
      </c>
      <c r="B30" s="161" t="s">
        <v>21</v>
      </c>
      <c r="C30" s="186" t="str">
        <f>IF(D30="","",登!$F$1)</f>
        <v/>
      </c>
      <c r="D30" s="64"/>
      <c r="E30" s="186">
        <v>13</v>
      </c>
      <c r="F30" s="164" t="str">
        <f>IF(D30="","",IF(OR(COUNTIF($D$13:$D$16,"")&gt;0,COUNTIF($D$17:$D$20,"")&gt;0),"団体から入力",IF(COUNTIF($D$26:D30,"")&gt;0,"立順9から詰めて入力",IF(INT(VALUE(RIGHT(D30,3))/100)=$B$2,VLOOKUP(D30,登!$B$4:$I$103,7,0),"部員番号入力ミス"))))</f>
        <v/>
      </c>
      <c r="G30" s="165" t="str">
        <f>IF(D30="","",IF(INT(VALUE(RIGHT(D30,3))/100)=$B$2,IF(VLOOKUP(D30,登!$B$4:$I$103,2,0)=登!$B$1,1,IF(VLOOKUP(D30,登!$B$4:$I$103,2,0)=登!$B$1-1,2,IF(VLOOKUP(D30,登!$B$4:$I$103,2,0)=登!$B$1-2,3,"学年ミス"))),"番号ミス"))</f>
        <v/>
      </c>
      <c r="H30" s="160" t="str">
        <f t="shared" si="1"/>
        <v/>
      </c>
    </row>
    <row r="31" spans="1:8" ht="12.75" customHeight="1">
      <c r="A31" s="175" t="str">
        <f>IF($D$29="","",IF($B$2=1,IF(COUNT($D$29:$D$31)=3,VLOOKUP(登!$D$1,立男!$A$4:$I$100,4,0)+800,VLOOKUP(登!$D$1,立男!$A$4:$I$100,4,0)+900),IF(COUNT($D$29:$D$31)=3,VLOOKUP(登!$D$1,立女!$A$4:$I$100,4,0)+800,VLOOKUP(登!$D$1,立女!$A$4:$I$100,4,0)+900)))</f>
        <v/>
      </c>
      <c r="B31" s="176" t="s">
        <v>21</v>
      </c>
      <c r="C31" s="187" t="str">
        <f>IF(D31="","",登!$F$1)</f>
        <v/>
      </c>
      <c r="D31" s="66"/>
      <c r="E31" s="187">
        <v>14</v>
      </c>
      <c r="F31" s="188" t="str">
        <f>IF(D31="","",IF(OR(COUNTIF($D$13:$D$16,"")&gt;0,COUNTIF($D$17:$D$20,"")&gt;0),"団体から入力",IF(COUNTIF($D$26:D31,"")&gt;0,"立順9から詰めて入力",IF(INT(VALUE(RIGHT(D31,3))/100)=$B$2,VLOOKUP(D31,登!$B$4:$I$103,7,0),"部員番号入力ミス"))))</f>
        <v/>
      </c>
      <c r="G31" s="181" t="str">
        <f>IF(D31="","",IF(INT(VALUE(RIGHT(D31,3))/100)=$B$2,IF(VLOOKUP(D31,登!$B$4:$I$103,2,0)=登!$B$1,1,IF(VLOOKUP(D31,登!$B$4:$I$103,2,0)=登!$B$1-1,2,IF(VLOOKUP(D31,登!$B$4:$I$103,2,0)=登!$B$1-2,3,"学年ミス"))),"番号ミス"))</f>
        <v/>
      </c>
      <c r="H31" s="175" t="str">
        <f t="shared" si="1"/>
        <v/>
      </c>
    </row>
    <row r="32" spans="1:8" ht="12.75" customHeight="1">
      <c r="A32" s="154" t="str">
        <f>IF($D$32="","",IF($B$2=1,IF(COUNT($D$32:$D$34)=3,VLOOKUP(登!$D$1,立男!$A$4:$I$100,4,0)+1000,VLOOKUP(登!$D$1,立男!$A$4:$I$100,4,0)+1100),IF(COUNT($D$32:$D$34)=3,VLOOKUP(登!$D$1,立女!$A$4:$I$100,4,0)+1000,VLOOKUP(登!$D$1,立女!$A$4:$I$100,4,0)+1100)))</f>
        <v/>
      </c>
      <c r="B32" s="155" t="s">
        <v>21</v>
      </c>
      <c r="C32" s="185" t="str">
        <f>IF(D32="","",登!$F$1)</f>
        <v/>
      </c>
      <c r="D32" s="63"/>
      <c r="E32" s="185">
        <v>15</v>
      </c>
      <c r="F32" s="158" t="str">
        <f>IF(D32="","",IF(OR(COUNTIF($D$13:$D$16,"")&gt;0,COUNTIF($D$17:$D$20,"")&gt;0),"団体から入力",IF(COUNTIF($D$26:D32,"")&gt;0,"立順9から詰めて入力",IF(INT(VALUE(RIGHT(D32,3))/100)=$B$2,VLOOKUP(D32,登!$B$4:$I$103,7,0),"部員番号入力ミス"))))</f>
        <v/>
      </c>
      <c r="G32" s="159" t="str">
        <f>IF(D32="","",IF(INT(VALUE(RIGHT(D32,3))/100)=$B$2,IF(VLOOKUP(D32,登!$B$4:$I$103,2,0)=登!$B$1,1,IF(VLOOKUP(D32,登!$B$4:$I$103,2,0)=登!$B$1-1,2,IF(VLOOKUP(D32,登!$B$4:$I$103,2,0)=登!$B$1-2,3,"学年ミス"))),"番号ミス"))</f>
        <v/>
      </c>
      <c r="H32" s="154" t="str">
        <f t="shared" si="1"/>
        <v/>
      </c>
    </row>
    <row r="33" spans="1:11" ht="12.75" customHeight="1">
      <c r="A33" s="160" t="str">
        <f>IF($D$32="","",IF($B$2=1,IF(COUNT($D$32:$D$34)=3,VLOOKUP(登!$D$1,立男!$A$4:$I$100,4,0)+1000,VLOOKUP(登!$D$1,立男!$A$4:$I$100,4,0)+1100),IF(COUNT($D$32:$D$34)=3,VLOOKUP(登!$D$1,立女!$A$4:$I$100,4,0)+1000,VLOOKUP(登!$D$1,立女!$A$4:$I$100,4,0)+1100)))</f>
        <v/>
      </c>
      <c r="B33" s="161" t="s">
        <v>21</v>
      </c>
      <c r="C33" s="186" t="str">
        <f>IF(D33="","",登!$F$1)</f>
        <v/>
      </c>
      <c r="D33" s="64"/>
      <c r="E33" s="186">
        <v>16</v>
      </c>
      <c r="F33" s="164" t="str">
        <f>IF(D33="","",IF(OR(COUNTIF($D$13:$D$16,"")&gt;0,COUNTIF($D$17:$D$20,"")&gt;0),"団体から入力",IF(COUNTIF($D$26:D33,"")&gt;0,"立順9から詰めて入力",IF(INT(VALUE(RIGHT(D33,3))/100)=$B$2,VLOOKUP(D33,登!$B$4:$I$103,7,0),"部員番号入力ミス"))))</f>
        <v/>
      </c>
      <c r="G33" s="165" t="str">
        <f>IF(D33="","",IF(INT(VALUE(RIGHT(D33,3))/100)=$B$2,IF(VLOOKUP(D33,登!$B$4:$I$103,2,0)=登!$B$1,1,IF(VLOOKUP(D33,登!$B$4:$I$103,2,0)=登!$B$1-1,2,IF(VLOOKUP(D33,登!$B$4:$I$103,2,0)=登!$B$1-2,3,"学年ミス"))),"番号ミス"))</f>
        <v/>
      </c>
      <c r="H33" s="160" t="str">
        <f t="shared" si="1"/>
        <v/>
      </c>
    </row>
    <row r="34" spans="1:11" ht="12.75" customHeight="1">
      <c r="A34" s="175" t="str">
        <f>IF($D$32="","",IF($B$2=1,IF(COUNT($D$32:$D$34)=3,VLOOKUP(登!$D$1,立男!$A$4:$I$100,4,0)+1000,VLOOKUP(登!$D$1,立男!$A$4:$I$100,4,0)+1100),IF(COUNT($D$32:$D$34)=3,VLOOKUP(登!$D$1,立女!$A$4:$I$100,4,0)+1000,VLOOKUP(登!$D$1,立女!$A$4:$I$100,4,0)+1100)))</f>
        <v/>
      </c>
      <c r="B34" s="176" t="s">
        <v>21</v>
      </c>
      <c r="C34" s="187" t="str">
        <f>IF(D34="","",登!$F$1)</f>
        <v/>
      </c>
      <c r="D34" s="66"/>
      <c r="E34" s="187">
        <v>17</v>
      </c>
      <c r="F34" s="188" t="str">
        <f>IF(D34="","",IF(OR(COUNTIF($D$13:$D$16,"")&gt;0,COUNTIF($D$17:$D$20,"")&gt;0),"団体から入力",IF(COUNTIF($D$26:D34,"")&gt;0,"立順9から詰めて入力",IF(INT(VALUE(RIGHT(D34,3))/100)=$B$2,VLOOKUP(D34,登!$B$4:$I$103,7,0),"部員番号入力ミス"))))</f>
        <v/>
      </c>
      <c r="G34" s="181" t="str">
        <f>IF(D34="","",IF(INT(VALUE(RIGHT(D34,3))/100)=$B$2,IF(VLOOKUP(D34,登!$B$4:$I$103,2,0)=登!$B$1,1,IF(VLOOKUP(D34,登!$B$4:$I$103,2,0)=登!$B$1-1,2,IF(VLOOKUP(D34,登!$B$4:$I$103,2,0)=登!$B$1-2,3,"学年ミス"))),"番号ミス"))</f>
        <v/>
      </c>
      <c r="H34" s="175" t="str">
        <f t="shared" si="1"/>
        <v/>
      </c>
      <c r="K34" s="147"/>
    </row>
    <row r="35" spans="1:11" ht="12.75" customHeight="1">
      <c r="A35" s="154" t="str">
        <f>IF($D$35="","",IF($B$2=1,IF(COUNT($D$35:$D$37)=3,VLOOKUP(登!$D$1,立男!$A$4:$I$100,4,0)+1200,VLOOKUP(登!$D$1,立男!$A$4:$I$100,4,0)+1300),IF(COUNT($D$35:$D$37)=3,VLOOKUP(登!$D$1,立女!$A$4:$I$100,4,0)+1200,VLOOKUP(登!$D$1,立女!$A$4:$I$100,4,0)+1300)))</f>
        <v/>
      </c>
      <c r="B35" s="155" t="s">
        <v>21</v>
      </c>
      <c r="C35" s="185" t="str">
        <f>IF(D35="","",登!$F$1)</f>
        <v/>
      </c>
      <c r="D35" s="63"/>
      <c r="E35" s="185">
        <v>18</v>
      </c>
      <c r="F35" s="158" t="str">
        <f>IF(D35="","",IF(OR(COUNTIF($D$13:$D$16,"")&gt;0,COUNTIF($D$17:$D$20,"")&gt;0),"団体から入力",IF(COUNTIF($D$26:D35,"")&gt;0,"立順9から詰めて入力",IF(INT(VALUE(RIGHT(D35,3))/100)=$B$2,VLOOKUP(D35,登!$B$4:$I$103,7,0),"部員番号入力ミス"))))</f>
        <v/>
      </c>
      <c r="G35" s="159" t="str">
        <f>IF(D35="","",IF(INT(VALUE(RIGHT(D35,3))/100)=$B$2,IF(VLOOKUP(D35,登!$B$4:$I$103,2,0)=登!$B$1,1,IF(VLOOKUP(D35,登!$B$4:$I$103,2,0)=登!$B$1-1,2,IF(VLOOKUP(D35,登!$B$4:$I$103,2,0)=登!$B$1-2,3,"学年ミス"))),"番号ミス"))</f>
        <v/>
      </c>
      <c r="H35" s="154" t="str">
        <f t="shared" si="1"/>
        <v/>
      </c>
      <c r="K35" s="147"/>
    </row>
    <row r="36" spans="1:11" ht="12.75" customHeight="1">
      <c r="A36" s="160" t="str">
        <f>IF($D$35="","",IF($B$2=1,IF(COUNT($D$35:$D$37)=3,VLOOKUP(登!$D$1,立男!$A$4:$I$100,4,0)+1200,VLOOKUP(登!$D$1,立男!$A$4:$I$100,4,0)+1300),IF(COUNT($D$35:$D$37)=3,VLOOKUP(登!$D$1,立女!$A$4:$I$100,4,0)+1200,VLOOKUP(登!$D$1,立女!$A$4:$I$100,4,0)+1300)))</f>
        <v/>
      </c>
      <c r="B36" s="161" t="s">
        <v>21</v>
      </c>
      <c r="C36" s="186" t="str">
        <f>IF(D36="","",登!$F$1)</f>
        <v/>
      </c>
      <c r="D36" s="64"/>
      <c r="E36" s="186">
        <v>19</v>
      </c>
      <c r="F36" s="164" t="str">
        <f>IF(D36="","",IF(OR(COUNTIF($D$13:$D$16,"")&gt;0,COUNTIF($D$17:$D$20,"")&gt;0),"団体から入力",IF(COUNTIF($D$26:D36,"")&gt;0,"立順9から詰めて入力",IF(INT(VALUE(RIGHT(D36,3))/100)=$B$2,VLOOKUP(D36,登!$B$4:$I$103,7,0),"部員番号入力ミス"))))</f>
        <v/>
      </c>
      <c r="G36" s="165" t="str">
        <f>IF(D36="","",IF(INT(VALUE(RIGHT(D36,3))/100)=$B$2,IF(VLOOKUP(D36,登!$B$4:$I$103,2,0)=登!$B$1,1,IF(VLOOKUP(D36,登!$B$4:$I$103,2,0)=登!$B$1-1,2,IF(VLOOKUP(D36,登!$B$4:$I$103,2,0)=登!$B$1-2,3,"学年ミス"))),"番号ミス"))</f>
        <v/>
      </c>
      <c r="H36" s="160" t="str">
        <f t="shared" si="1"/>
        <v/>
      </c>
      <c r="K36" s="147"/>
    </row>
    <row r="37" spans="1:11" ht="12.75" customHeight="1">
      <c r="A37" s="175" t="str">
        <f>IF($D$35="","",IF($B$2=1,IF(COUNT($D$35:$D$37)=3,VLOOKUP(登!$D$1,立男!$A$4:$I$100,4,0)+1200,VLOOKUP(登!$D$1,立男!$A$4:$I$100,4,0)+1300),IF(COUNT($D$35:$D$37)=3,VLOOKUP(登!$D$1,立女!$A$4:$I$100,4,0)+1200,VLOOKUP(登!$D$1,立女!$A$4:$I$100,4,0)+1300)))</f>
        <v/>
      </c>
      <c r="B37" s="176" t="s">
        <v>21</v>
      </c>
      <c r="C37" s="187" t="str">
        <f>IF(D37="","",登!$F$1)</f>
        <v/>
      </c>
      <c r="D37" s="66"/>
      <c r="E37" s="187">
        <v>20</v>
      </c>
      <c r="F37" s="188" t="str">
        <f>IF(D37="","",IF(OR(COUNTIF($D$13:$D$16,"")&gt;0,COUNTIF($D$17:$D$20,"")&gt;0),"団体から入力",IF(COUNTIF($D$26:D37,"")&gt;0,"立順9から詰めて入力",IF(INT(VALUE(RIGHT(D37,3))/100)=$B$2,VLOOKUP(D37,登!$B$4:$I$103,7,0),"部員番号入力ミス"))))</f>
        <v/>
      </c>
      <c r="G37" s="181" t="str">
        <f>IF(D37="","",IF(INT(VALUE(RIGHT(D37,3))/100)=$B$2,IF(VLOOKUP(D37,登!$B$4:$I$103,2,0)=登!$B$1,1,IF(VLOOKUP(D37,登!$B$4:$I$103,2,0)=登!$B$1-1,2,IF(VLOOKUP(D37,登!$B$4:$I$103,2,0)=登!$B$1-2,3,"学年ミス"))),"番号ミス"))</f>
        <v/>
      </c>
      <c r="H37" s="175" t="str">
        <f t="shared" si="1"/>
        <v/>
      </c>
      <c r="K37" s="147"/>
    </row>
    <row r="38" spans="1:11" ht="12.75" customHeight="1">
      <c r="A38" s="154" t="str">
        <f>IF($D$38="","",IF($B$2=1,IF(COUNT($D$38:$D$40)=3,VLOOKUP(登!$D$1,立男!$A$4:$I$100,4,0)+1400,VLOOKUP(登!$D$1,立男!$A$4:$I$100,4,0)+1500),IF(COUNT($D$38:$D$40)=3,VLOOKUP(登!$D$1,立女!$A$4:$I$100,4,0)+1400,VLOOKUP(登!$D$1,立女!$A$4:$I$100,4,0)+1500)))</f>
        <v/>
      </c>
      <c r="B38" s="155" t="s">
        <v>21</v>
      </c>
      <c r="C38" s="185" t="str">
        <f>IF(D38="","",登!$F$1)</f>
        <v/>
      </c>
      <c r="D38" s="63"/>
      <c r="E38" s="185">
        <v>21</v>
      </c>
      <c r="F38" s="158" t="str">
        <f>IF(D38="","",IF(OR(COUNTIF($D$13:$D$16,"")&gt;0,COUNTIF($D$17:$D$20,"")&gt;0),"団体から入力",IF(COUNTIF($D$26:D38,"")&gt;0,"立順9から詰めて入力",IF(INT(VALUE(RIGHT(D38,3))/100)=$B$2,VLOOKUP(D38,登!$B$4:$I$103,7,0),"部員番号入力ミス"))))</f>
        <v/>
      </c>
      <c r="G38" s="159" t="str">
        <f>IF(D38="","",IF(INT(VALUE(RIGHT(D38,3))/100)=$B$2,IF(VLOOKUP(D38,登!$B$4:$I$103,2,0)=登!$B$1,1,IF(VLOOKUP(D38,登!$B$4:$I$103,2,0)=登!$B$1-1,2,IF(VLOOKUP(D38,登!$B$4:$I$103,2,0)=登!$B$1-2,3,"学年ミス"))),"番号ミス"))</f>
        <v/>
      </c>
      <c r="H38" s="154" t="str">
        <f t="shared" si="1"/>
        <v/>
      </c>
      <c r="K38" s="147"/>
    </row>
    <row r="39" spans="1:11" ht="12.75" customHeight="1">
      <c r="A39" s="160" t="str">
        <f>IF($D$38="","",IF($B$2=1,IF(COUNT($D$38:$D$40)=3,VLOOKUP(登!$D$1,立男!$A$4:$I$100,4,0)+1400,VLOOKUP(登!$D$1,立男!$A$4:$I$100,4,0)+1500),IF(COUNT($D$38:$D$40)=3,VLOOKUP(登!$D$1,立女!$A$4:$I$100,4,0)+1400,VLOOKUP(登!$D$1,立女!$A$4:$I$100,4,0)+1500)))</f>
        <v/>
      </c>
      <c r="B39" s="161" t="s">
        <v>21</v>
      </c>
      <c r="C39" s="186" t="str">
        <f>IF(D39="","",登!$F$1)</f>
        <v/>
      </c>
      <c r="D39" s="64"/>
      <c r="E39" s="186">
        <v>22</v>
      </c>
      <c r="F39" s="164" t="str">
        <f>IF(D39="","",IF(OR(COUNTIF($D$13:$D$16,"")&gt;0,COUNTIF($D$17:$D$20,"")&gt;0),"団体から入力",IF(COUNTIF($D$26:D39,"")&gt;0,"立順9から詰めて入力",IF(INT(VALUE(RIGHT(D39,3))/100)=$B$2,VLOOKUP(D39,登!$B$4:$I$103,7,0),"部員番号入力ミス"))))</f>
        <v/>
      </c>
      <c r="G39" s="165" t="str">
        <f>IF(D39="","",IF(INT(VALUE(RIGHT(D39,3))/100)=$B$2,IF(VLOOKUP(D39,登!$B$4:$I$103,2,0)=登!$B$1,1,IF(VLOOKUP(D39,登!$B$4:$I$103,2,0)=登!$B$1-1,2,IF(VLOOKUP(D39,登!$B$4:$I$103,2,0)=登!$B$1-2,3,"学年ミス"))),"番号ミス"))</f>
        <v/>
      </c>
      <c r="H39" s="160" t="str">
        <f t="shared" si="1"/>
        <v/>
      </c>
    </row>
    <row r="40" spans="1:11" ht="12.75" customHeight="1">
      <c r="A40" s="175" t="str">
        <f>IF($D$38="","",IF($B$2=1,IF(COUNT($D$38:$D$40)=3,VLOOKUP(登!$D$1,立男!$A$4:$I$100,4,0)+1400,VLOOKUP(登!$D$1,立男!$A$4:$I$100,4,0)+1500),IF(COUNT($D$38:$D$40)=3,VLOOKUP(登!$D$1,立女!$A$4:$I$100,4,0)+1400,VLOOKUP(登!$D$1,立女!$A$4:$I$100,4,0)+1500)))</f>
        <v/>
      </c>
      <c r="B40" s="176" t="s">
        <v>21</v>
      </c>
      <c r="C40" s="187" t="str">
        <f>IF(D40="","",登!$F$1)</f>
        <v/>
      </c>
      <c r="D40" s="66"/>
      <c r="E40" s="187">
        <v>23</v>
      </c>
      <c r="F40" s="188" t="str">
        <f>IF(D40="","",IF(OR(COUNTIF($D$13:$D$16,"")&gt;0,COUNTIF($D$17:$D$20,"")&gt;0),"団体から入力",IF(COUNTIF($D$26:D40,"")&gt;0,"立順9から詰めて入力",IF(INT(VALUE(RIGHT(D40,3))/100)=$B$2,VLOOKUP(D40,登!$B$4:$I$103,7,0),"部員番号入力ミス"))))</f>
        <v/>
      </c>
      <c r="G40" s="181" t="str">
        <f>IF(D40="","",IF(INT(VALUE(RIGHT(D40,3))/100)=$B$2,IF(VLOOKUP(D40,登!$B$4:$I$103,2,0)=登!$B$1,1,IF(VLOOKUP(D40,登!$B$4:$I$103,2,0)=登!$B$1-1,2,IF(VLOOKUP(D40,登!$B$4:$I$103,2,0)=登!$B$1-2,3,"学年ミス"))),"番号ミス"))</f>
        <v/>
      </c>
      <c r="H40" s="175" t="str">
        <f t="shared" si="1"/>
        <v/>
      </c>
    </row>
    <row r="41" spans="1:11" ht="12.75" customHeight="1">
      <c r="A41" s="154" t="str">
        <f>IF($D$41="","",IF($B$2=1,IF(COUNT($D$41:$D$43)=3,VLOOKUP(登!$D$1,立男!$A$4:$I$100,4,0)+1600,VLOOKUP(登!$D$1,立男!$A$4:$I$100,4,0)+1700),IF(COUNT($D$41:$D$43)=3,VLOOKUP(登!$D$1,立女!$A$4:$I$100,4,0)+1600,VLOOKUP(登!$D$1,立女!$A$4:$I$100,4,0)+1700)))</f>
        <v/>
      </c>
      <c r="B41" s="155" t="s">
        <v>21</v>
      </c>
      <c r="C41" s="185" t="str">
        <f>IF(D41="","",登!$F$1)</f>
        <v/>
      </c>
      <c r="D41" s="63"/>
      <c r="E41" s="185">
        <v>24</v>
      </c>
      <c r="F41" s="158" t="str">
        <f>IF(D41="","",IF(OR(COUNTIF($D$13:$D$16,"")&gt;0,COUNTIF($D$17:$D$20,"")&gt;0),"団体から入力",IF(COUNTIF($D$26:D41,"")&gt;0,"立順9から詰めて入力",IF(INT(VALUE(RIGHT(D41,3))/100)=$B$2,VLOOKUP(D41,登!$B$4:$I$103,7,0),"部員番号入力ミス"))))</f>
        <v/>
      </c>
      <c r="G41" s="159" t="str">
        <f>IF(D41="","",IF(INT(VALUE(RIGHT(D41,3))/100)=$B$2,IF(VLOOKUP(D41,登!$B$4:$I$103,2,0)=登!$B$1,1,IF(VLOOKUP(D41,登!$B$4:$I$103,2,0)=登!$B$1-1,2,IF(VLOOKUP(D41,登!$B$4:$I$103,2,0)=登!$B$1-2,3,"学年ミス"))),"番号ミス"))</f>
        <v/>
      </c>
      <c r="H41" s="154" t="str">
        <f t="shared" si="1"/>
        <v/>
      </c>
    </row>
    <row r="42" spans="1:11" ht="12.75" customHeight="1">
      <c r="A42" s="160" t="str">
        <f>IF($D$41="","",IF($B$2=1,IF(COUNT($D$41:$D$43)=3,VLOOKUP(登!$D$1,立男!$A$4:$I$100,4,0)+1600,VLOOKUP(登!$D$1,立男!$A$4:$I$100,4,0)+1700),IF(COUNT($D$41:$D$43)=3,VLOOKUP(登!$D$1,立女!$A$4:$I$100,4,0)+1600,VLOOKUP(登!$D$1,立女!$A$4:$I$100,4,0)+1700)))</f>
        <v/>
      </c>
      <c r="B42" s="161" t="s">
        <v>21</v>
      </c>
      <c r="C42" s="186" t="str">
        <f>IF(D42="","",登!$F$1)</f>
        <v/>
      </c>
      <c r="D42" s="64"/>
      <c r="E42" s="186">
        <v>25</v>
      </c>
      <c r="F42" s="164" t="str">
        <f>IF(D42="","",IF(OR(COUNTIF($D$13:$D$16,"")&gt;0,COUNTIF($D$17:$D$20,"")&gt;0),"団体から入力",IF(COUNTIF($D$26:D42,"")&gt;0,"立順9から詰めて入力",IF(INT(VALUE(RIGHT(D42,3))/100)=$B$2,VLOOKUP(D42,登!$B$4:$I$103,7,0),"部員番号入力ミス"))))</f>
        <v/>
      </c>
      <c r="G42" s="165" t="str">
        <f>IF(D42="","",IF(INT(VALUE(RIGHT(D42,3))/100)=$B$2,IF(VLOOKUP(D42,登!$B$4:$I$103,2,0)=登!$B$1,1,IF(VLOOKUP(D42,登!$B$4:$I$103,2,0)=登!$B$1-1,2,IF(VLOOKUP(D42,登!$B$4:$I$103,2,0)=登!$B$1-2,3,"学年ミス"))),"番号ミス"))</f>
        <v/>
      </c>
      <c r="H42" s="160" t="str">
        <f t="shared" si="1"/>
        <v/>
      </c>
    </row>
    <row r="43" spans="1:11" ht="12.75" customHeight="1">
      <c r="A43" s="175" t="str">
        <f>IF($D$41="","",IF($B$2=1,IF(COUNT($D$41:$D$43)=3,VLOOKUP(登!$D$1,立男!$A$4:$I$100,4,0)+1600,VLOOKUP(登!$D$1,立男!$A$4:$I$100,4,0)+1700),IF(COUNT($D$41:$D$43)=3,VLOOKUP(登!$D$1,立女!$A$4:$I$100,4,0)+1600,VLOOKUP(登!$D$1,立女!$A$4:$I$100,4,0)+1700)))</f>
        <v/>
      </c>
      <c r="B43" s="176" t="s">
        <v>21</v>
      </c>
      <c r="C43" s="187" t="str">
        <f>IF(D43="","",登!$F$1)</f>
        <v/>
      </c>
      <c r="D43" s="66"/>
      <c r="E43" s="187">
        <v>26</v>
      </c>
      <c r="F43" s="188" t="str">
        <f>IF(D43="","",IF(OR(COUNTIF($D$13:$D$16,"")&gt;0,COUNTIF($D$17:$D$20,"")&gt;0),"団体から入力",IF(COUNTIF($D$26:D43,"")&gt;0,"立順9から詰めて入力",IF(INT(VALUE(RIGHT(D43,3))/100)=$B$2,VLOOKUP(D43,登!$B$4:$I$103,7,0),"部員番号入力ミス"))))</f>
        <v/>
      </c>
      <c r="G43" s="181" t="str">
        <f>IF(D43="","",IF(INT(VALUE(RIGHT(D43,3))/100)=$B$2,IF(VLOOKUP(D43,登!$B$4:$I$103,2,0)=登!$B$1,1,IF(VLOOKUP(D43,登!$B$4:$I$103,2,0)=登!$B$1-1,2,IF(VLOOKUP(D43,登!$B$4:$I$103,2,0)=登!$B$1-2,3,"学年ミス"))),"番号ミス"))</f>
        <v/>
      </c>
      <c r="H43" s="175" t="str">
        <f t="shared" si="1"/>
        <v/>
      </c>
    </row>
    <row r="44" spans="1:11" ht="12.75" customHeight="1">
      <c r="A44" s="154" t="str">
        <f>IF($D$44="","",IF($B$2=1,IF(COUNT($D$44:$D$46)=3,VLOOKUP(登!$D$1,立男!$A$4:$I$100,4,0)+1800,VLOOKUP(登!$D$1,立男!$A$4:$I$100,4,0)+1900),IF(COUNT($D$44:$D$46)=3,VLOOKUP(登!$D$1,立女!$A$4:$I$100,4,0)+1800,VLOOKUP(登!$D$1,立女!$A$4:$I$100,4,0)+1900)))</f>
        <v/>
      </c>
      <c r="B44" s="155" t="s">
        <v>21</v>
      </c>
      <c r="C44" s="185" t="str">
        <f>IF(D44="","",登!$F$1)</f>
        <v/>
      </c>
      <c r="D44" s="63"/>
      <c r="E44" s="185">
        <v>27</v>
      </c>
      <c r="F44" s="158" t="str">
        <f>IF(D44="","",IF(OR(COUNTIF($D$13:$D$16,"")&gt;0,COUNTIF($D$17:$D$20,"")&gt;0),"団体から入力",IF(COUNTIF($D$26:D44,"")&gt;0,"立順9から詰めて入力",IF(INT(VALUE(RIGHT(D44,3))/100)=$B$2,VLOOKUP(D44,登!$B$4:$I$103,7,0),"部員番号入力ミス"))))</f>
        <v/>
      </c>
      <c r="G44" s="159" t="str">
        <f>IF(D44="","",IF(INT(VALUE(RIGHT(D44,3))/100)=$B$2,IF(VLOOKUP(D44,登!$B$4:$I$103,2,0)=登!$B$1,1,IF(VLOOKUP(D44,登!$B$4:$I$103,2,0)=登!$B$1-1,2,IF(VLOOKUP(D44,登!$B$4:$I$103,2,0)=登!$B$1-2,3,"学年ミス"))),"番号ミス"))</f>
        <v/>
      </c>
      <c r="H44" s="154" t="str">
        <f t="shared" si="1"/>
        <v/>
      </c>
    </row>
    <row r="45" spans="1:11" ht="12.75" customHeight="1">
      <c r="A45" s="160" t="str">
        <f>IF($D$44="","",IF($B$2=1,IF(COUNT($D$44:$D$46)=3,VLOOKUP(登!$D$1,立男!$A$4:$I$100,4,0)+1800,VLOOKUP(登!$D$1,立男!$A$4:$I$100,4,0)+1900),IF(COUNT($D$44:$D$46)=3,VLOOKUP(登!$D$1,立女!$A$4:$I$100,4,0)+1800,VLOOKUP(登!$D$1,立女!$A$4:$I$100,4,0)+1900)))</f>
        <v/>
      </c>
      <c r="B45" s="161" t="s">
        <v>21</v>
      </c>
      <c r="C45" s="186" t="str">
        <f>IF(D45="","",登!$F$1)</f>
        <v/>
      </c>
      <c r="D45" s="64"/>
      <c r="E45" s="186">
        <v>28</v>
      </c>
      <c r="F45" s="164" t="str">
        <f>IF(D45="","",IF(OR(COUNTIF($D$13:$D$16,"")&gt;0,COUNTIF($D$17:$D$20,"")&gt;0),"団体から入力",IF(COUNTIF($D$26:D45,"")&gt;0,"立順9から詰めて入力",IF(INT(VALUE(RIGHT(D45,3))/100)=$B$2,VLOOKUP(D45,登!$B$4:$I$103,7,0),"部員番号入力ミス"))))</f>
        <v/>
      </c>
      <c r="G45" s="165" t="str">
        <f>IF(D45="","",IF(INT(VALUE(RIGHT(D45,3))/100)=$B$2,IF(VLOOKUP(D45,登!$B$4:$I$103,2,0)=登!$B$1,1,IF(VLOOKUP(D45,登!$B$4:$I$103,2,0)=登!$B$1-1,2,IF(VLOOKUP(D45,登!$B$4:$I$103,2,0)=登!$B$1-2,3,"学年ミス"))),"番号ミス"))</f>
        <v/>
      </c>
      <c r="H45" s="160" t="str">
        <f t="shared" si="1"/>
        <v/>
      </c>
    </row>
    <row r="46" spans="1:11" ht="12.75" customHeight="1">
      <c r="A46" s="175" t="str">
        <f>IF($D$44="","",IF($B$2=1,IF(COUNT($D$44:$D$46)=3,VLOOKUP(登!$D$1,立男!$A$4:$I$100,4,0)+1800,VLOOKUP(登!$D$1,立男!$A$4:$I$100,4,0)+1900),IF(COUNT($D$44:$D$46)=3,VLOOKUP(登!$D$1,立女!$A$4:$I$100,4,0)+1800,VLOOKUP(登!$D$1,立女!$A$4:$I$100,4,0)+1900)))</f>
        <v/>
      </c>
      <c r="B46" s="176" t="s">
        <v>21</v>
      </c>
      <c r="C46" s="187" t="str">
        <f>IF(D46="","",登!$F$1)</f>
        <v/>
      </c>
      <c r="D46" s="66"/>
      <c r="E46" s="187">
        <v>29</v>
      </c>
      <c r="F46" s="188" t="str">
        <f>IF(D46="","",IF(OR(COUNTIF($D$13:$D$16,"")&gt;0,COUNTIF($D$17:$D$20,"")&gt;0),"団体から入力",IF(COUNTIF($D$26:D46,"")&gt;0,"立順9から詰めて入力",IF(INT(VALUE(RIGHT(D46,3))/100)=$B$2,VLOOKUP(D46,登!$B$4:$I$103,7,0),"部員番号入力ミス"))))</f>
        <v/>
      </c>
      <c r="G46" s="181" t="str">
        <f>IF(D46="","",IF(INT(VALUE(RIGHT(D46,3))/100)=$B$2,IF(VLOOKUP(D46,登!$B$4:$I$103,2,0)=登!$B$1,1,IF(VLOOKUP(D46,登!$B$4:$I$103,2,0)=登!$B$1-1,2,IF(VLOOKUP(D46,登!$B$4:$I$103,2,0)=登!$B$1-2,3,"学年ミス"))),"番号ミス"))</f>
        <v/>
      </c>
      <c r="H46" s="175" t="str">
        <f t="shared" si="1"/>
        <v/>
      </c>
    </row>
    <row r="47" spans="1:11" ht="12.75" customHeight="1">
      <c r="A47" s="154" t="str">
        <f>IF($D$47="","",IF($B$2=1,IF(COUNT($D$47:$D$49)=3,VLOOKUP(登!$D$1,立男!$A$4:$I$100,4,0)+2000,VLOOKUP(登!$D$1,立男!$A$4:$I$100,4,0)+2100),IF(COUNT($D$47:$D$49)=3,VLOOKUP(登!$D$1,立女!$A$4:$I$100,4,0)+2000,VLOOKUP(登!$D$1,立女!$A$4:$I$100,4,0)+2100)))</f>
        <v/>
      </c>
      <c r="B47" s="155" t="s">
        <v>21</v>
      </c>
      <c r="C47" s="185" t="str">
        <f>IF(D47="","",登!$F$1)</f>
        <v/>
      </c>
      <c r="D47" s="63"/>
      <c r="E47" s="185">
        <v>30</v>
      </c>
      <c r="F47" s="158" t="str">
        <f>IF(D47="","",IF(OR(COUNTIF($D$13:$D$16,"")&gt;0,COUNTIF($D$17:$D$20,"")&gt;0),"団体から入力",IF(COUNTIF($D$26:D47,"")&gt;0,"立順9から詰めて入力",IF(INT(VALUE(RIGHT(D47,3))/100)=$B$2,VLOOKUP(D47,登!$B$4:$I$103,7,0),"部員番号入力ミス"))))</f>
        <v/>
      </c>
      <c r="G47" s="159" t="str">
        <f>IF(D47="","",IF(INT(VALUE(RIGHT(D47,3))/100)=$B$2,IF(VLOOKUP(D47,登!$B$4:$I$103,2,0)=登!$B$1,1,IF(VLOOKUP(D47,登!$B$4:$I$103,2,0)=登!$B$1-1,2,IF(VLOOKUP(D47,登!$B$4:$I$103,2,0)=登!$B$1-2,3,"学年ミス"))),"番号ミス"))</f>
        <v/>
      </c>
      <c r="H47" s="154" t="str">
        <f t="shared" si="1"/>
        <v/>
      </c>
    </row>
    <row r="48" spans="1:11" ht="12.75" customHeight="1">
      <c r="A48" s="160" t="str">
        <f>IF($D$47="","",IF($B$2=1,IF(COUNT($D$47:$D$49)=3,VLOOKUP(登!$D$1,立男!$A$4:$I$100,4,0)+2000,VLOOKUP(登!$D$1,立男!$A$4:$I$100,4,0)+2100),IF(COUNT($D$47:$D$49)=3,VLOOKUP(登!$D$1,立女!$A$4:$I$100,4,0)+2000,VLOOKUP(登!$D$1,立女!$A$4:$I$100,4,0)+2100)))</f>
        <v/>
      </c>
      <c r="B48" s="161" t="s">
        <v>21</v>
      </c>
      <c r="C48" s="186" t="str">
        <f>IF(D48="","",登!$F$1)</f>
        <v/>
      </c>
      <c r="D48" s="64"/>
      <c r="E48" s="186">
        <v>31</v>
      </c>
      <c r="F48" s="164" t="str">
        <f>IF(D48="","",IF(OR(COUNTIF($D$13:$D$16,"")&gt;0,COUNTIF($D$17:$D$20,"")&gt;0),"団体から入力",IF(COUNTIF($D$26:D48,"")&gt;0,"立順9から詰めて入力",IF(INT(VALUE(RIGHT(D48,3))/100)=$B$2,VLOOKUP(D48,登!$B$4:$I$103,7,0),"部員番号入力ミス"))))</f>
        <v/>
      </c>
      <c r="G48" s="165" t="str">
        <f>IF(D48="","",IF(INT(VALUE(RIGHT(D48,3))/100)=$B$2,IF(VLOOKUP(D48,登!$B$4:$I$103,2,0)=登!$B$1,1,IF(VLOOKUP(D48,登!$B$4:$I$103,2,0)=登!$B$1-1,2,IF(VLOOKUP(D48,登!$B$4:$I$103,2,0)=登!$B$1-2,3,"学年ミス"))),"番号ミス"))</f>
        <v/>
      </c>
      <c r="H48" s="160" t="str">
        <f t="shared" si="1"/>
        <v/>
      </c>
    </row>
    <row r="49" spans="1:8" ht="12.75" customHeight="1">
      <c r="A49" s="175" t="str">
        <f>IF($D$47="","",IF($B$2=1,IF(COUNT($D$47:$D$49)=3,VLOOKUP(登!$D$1,立男!$A$4:$I$100,4,0)+2000,VLOOKUP(登!$D$1,立男!$A$4:$I$100,4,0)+2100),IF(COUNT($D$47:$D$49)=3,VLOOKUP(登!$D$1,立女!$A$4:$I$100,4,0)+2000,VLOOKUP(登!$D$1,立女!$A$4:$I$100,4,0)+2100)))</f>
        <v/>
      </c>
      <c r="B49" s="176" t="s">
        <v>21</v>
      </c>
      <c r="C49" s="187" t="str">
        <f>IF(D49="","",登!$F$1)</f>
        <v/>
      </c>
      <c r="D49" s="66"/>
      <c r="E49" s="187">
        <v>32</v>
      </c>
      <c r="F49" s="188" t="str">
        <f>IF(D49="","",IF(OR(COUNTIF($D$13:$D$16,"")&gt;0,COUNTIF($D$17:$D$20,"")&gt;0),"団体から入力",IF(COUNTIF($D$26:D49,"")&gt;0,"立順9から詰めて入力",IF(INT(VALUE(RIGHT(D49,3))/100)=$B$2,VLOOKUP(D49,登!$B$4:$I$103,7,0),"部員番号入力ミス"))))</f>
        <v/>
      </c>
      <c r="G49" s="181" t="str">
        <f>IF(D49="","",IF(INT(VALUE(RIGHT(D49,3))/100)=$B$2,IF(VLOOKUP(D49,登!$B$4:$I$103,2,0)=登!$B$1,1,IF(VLOOKUP(D49,登!$B$4:$I$103,2,0)=登!$B$1-1,2,IF(VLOOKUP(D49,登!$B$4:$I$103,2,0)=登!$B$1-2,3,"学年ミス"))),"番号ミス"))</f>
        <v/>
      </c>
      <c r="H49" s="175" t="str">
        <f t="shared" si="1"/>
        <v/>
      </c>
    </row>
    <row r="50" spans="1:8" ht="12.75" customHeight="1">
      <c r="A50" s="154" t="str">
        <f>IF($D$50="","",IF($B$2=1,IF(COUNT($D$50:$D$52)=3,VLOOKUP(登!$D$1,立男!$A$4:$I$100,4,0)+2200,VLOOKUP(登!$D$1,立男!$A$4:$I$100,4,0)+2300),IF(COUNT($D$50:$D$52)=3,VLOOKUP(登!$D$1,立女!$A$4:$I$100,4,0)+2200,VLOOKUP(登!$D$1,立女!$A$4:$I$100,4,0)+2300)))</f>
        <v/>
      </c>
      <c r="B50" s="155" t="s">
        <v>21</v>
      </c>
      <c r="C50" s="185" t="str">
        <f>IF(D50="","",登!$F$1)</f>
        <v/>
      </c>
      <c r="D50" s="63"/>
      <c r="E50" s="185">
        <v>33</v>
      </c>
      <c r="F50" s="158" t="str">
        <f>IF(D50="","",IF(OR(COUNTIF($D$13:$D$16,"")&gt;0,COUNTIF($D$17:$D$20,"")&gt;0),"団体から入力",IF(COUNTIF($D$26:D50,"")&gt;0,"立順9から詰めて入力",IF(INT(VALUE(RIGHT(D50,3))/100)=$B$2,VLOOKUP(D50,登!$B$4:$I$103,7,0),"部員番号入力ミス"))))</f>
        <v/>
      </c>
      <c r="G50" s="159" t="str">
        <f>IF(D50="","",IF(INT(VALUE(RIGHT(D50,3))/100)=$B$2,IF(VLOOKUP(D50,登!$B$4:$I$103,2,0)=登!$B$1,1,IF(VLOOKUP(D50,登!$B$4:$I$103,2,0)=登!$B$1-1,2,IF(VLOOKUP(D50,登!$B$4:$I$103,2,0)=登!$B$1-2,3,"学年ミス"))),"番号ミス"))</f>
        <v/>
      </c>
      <c r="H50" s="154" t="str">
        <f t="shared" si="1"/>
        <v/>
      </c>
    </row>
    <row r="51" spans="1:8" ht="12.75" customHeight="1">
      <c r="A51" s="160" t="str">
        <f>IF($D$50="","",IF($B$2=1,IF(COUNT($D$50:$D$52)=3,VLOOKUP(登!$D$1,立男!$A$4:$I$100,4,0)+2200,VLOOKUP(登!$D$1,立男!$A$4:$I$100,4,0)+2300),IF(COUNT($D$50:$D$52)=3,VLOOKUP(登!$D$1,立女!$A$4:$I$100,4,0)+2200,VLOOKUP(登!$D$1,立女!$A$4:$I$100,4,0)+2300)))</f>
        <v/>
      </c>
      <c r="B51" s="161" t="s">
        <v>21</v>
      </c>
      <c r="C51" s="186" t="str">
        <f>IF(D51="","",登!$F$1)</f>
        <v/>
      </c>
      <c r="D51" s="64"/>
      <c r="E51" s="186">
        <v>34</v>
      </c>
      <c r="F51" s="164" t="str">
        <f>IF(D51="","",IF(OR(COUNTIF($D$13:$D$16,"")&gt;0,COUNTIF($D$17:$D$20,"")&gt;0),"団体から入力",IF(COUNTIF($D$26:D51,"")&gt;0,"立順9から詰めて入力",IF(INT(VALUE(RIGHT(D51,3))/100)=$B$2,VLOOKUP(D51,登!$B$4:$I$103,7,0),"部員番号入力ミス"))))</f>
        <v/>
      </c>
      <c r="G51" s="165" t="str">
        <f>IF(D51="","",IF(INT(VALUE(RIGHT(D51,3))/100)=$B$2,IF(VLOOKUP(D51,登!$B$4:$I$103,2,0)=登!$B$1,1,IF(VLOOKUP(D51,登!$B$4:$I$103,2,0)=登!$B$1-1,2,IF(VLOOKUP(D51,登!$B$4:$I$103,2,0)=登!$B$1-2,3,"学年ミス"))),"番号ミス"))</f>
        <v/>
      </c>
      <c r="H51" s="160" t="str">
        <f t="shared" si="1"/>
        <v/>
      </c>
    </row>
    <row r="52" spans="1:8" ht="12.75" customHeight="1">
      <c r="A52" s="175" t="str">
        <f>IF($D$50="","",IF($B$2=1,IF(COUNT($D$50:$D$52)=3,VLOOKUP(登!$D$1,立男!$A$4:$I$100,4,0)+2200,VLOOKUP(登!$D$1,立男!$A$4:$I$100,4,0)+2300),IF(COUNT($D$50:$D$52)=3,VLOOKUP(登!$D$1,立女!$A$4:$I$100,4,0)+2200,VLOOKUP(登!$D$1,立女!$A$4:$I$100,4,0)+2300)))</f>
        <v/>
      </c>
      <c r="B52" s="176" t="s">
        <v>21</v>
      </c>
      <c r="C52" s="187" t="str">
        <f>IF(D52="","",登!$F$1)</f>
        <v/>
      </c>
      <c r="D52" s="66"/>
      <c r="E52" s="187">
        <v>35</v>
      </c>
      <c r="F52" s="188" t="str">
        <f>IF(D52="","",IF(OR(COUNTIF($D$13:$D$16,"")&gt;0,COUNTIF($D$17:$D$20,"")&gt;0),"団体から入力",IF(COUNTIF($D$26:D52,"")&gt;0,"立順9から詰めて入力",IF(INT(VALUE(RIGHT(D52,3))/100)=$B$2,VLOOKUP(D52,登!$B$4:$I$103,7,0),"部員番号入力ミス"))))</f>
        <v/>
      </c>
      <c r="G52" s="181" t="str">
        <f>IF(D52="","",IF(INT(VALUE(RIGHT(D52,3))/100)=$B$2,IF(VLOOKUP(D52,登!$B$4:$I$103,2,0)=登!$B$1,1,IF(VLOOKUP(D52,登!$B$4:$I$103,2,0)=登!$B$1-1,2,IF(VLOOKUP(D52,登!$B$4:$I$103,2,0)=登!$B$1-2,3,"学年ミス"))),"番号ミス"))</f>
        <v/>
      </c>
      <c r="H52" s="175" t="str">
        <f t="shared" si="1"/>
        <v/>
      </c>
    </row>
    <row r="53" spans="1:8" ht="12.75" customHeight="1">
      <c r="A53" s="154" t="str">
        <f>IF($D$53="","",IF($B$2=1,IF(COUNT($D$53:$D$55)=3,VLOOKUP(登!$D$1,立男!$A$4:$I$100,4,0)+2400,VLOOKUP(登!$D$1,立男!$A$4:$I$100,4,0)+2500),IF(COUNT($D$53:$D$55)=3,VLOOKUP(登!$D$1,立女!$A$4:$I$100,4,0)+2400,VLOOKUP(登!$D$1,立女!$A$4:$I$100,4,0)+2500)))</f>
        <v/>
      </c>
      <c r="B53" s="155" t="s">
        <v>21</v>
      </c>
      <c r="C53" s="185" t="str">
        <f>IF(D53="","",登!$F$1)</f>
        <v/>
      </c>
      <c r="D53" s="63"/>
      <c r="E53" s="185">
        <v>36</v>
      </c>
      <c r="F53" s="158" t="str">
        <f>IF(D53="","",IF(OR(COUNTIF($D$13:$D$16,"")&gt;0,COUNTIF($D$17:$D$20,"")&gt;0),"団体から入力",IF(COUNTIF($D$26:D53,"")&gt;0,"立順9から詰めて入力",IF(INT(VALUE(RIGHT(D53,3))/100)=$B$2,VLOOKUP(D53,登!$B$4:$I$103,7,0),"部員番号入力ミス"))))</f>
        <v/>
      </c>
      <c r="G53" s="159" t="str">
        <f>IF(D53="","",IF(INT(VALUE(RIGHT(D53,3))/100)=$B$2,IF(VLOOKUP(D53,登!$B$4:$I$103,2,0)=登!$B$1,1,IF(VLOOKUP(D53,登!$B$4:$I$103,2,0)=登!$B$1-1,2,IF(VLOOKUP(D53,登!$B$4:$I$103,2,0)=登!$B$1-2,3,"学年ミス"))),"番号ミス"))</f>
        <v/>
      </c>
      <c r="H53" s="154" t="str">
        <f t="shared" si="1"/>
        <v/>
      </c>
    </row>
    <row r="54" spans="1:8" ht="12.75" customHeight="1">
      <c r="A54" s="160" t="str">
        <f>IF($D$53="","",IF($B$2=1,IF(COUNT($D$53:$D$55)=3,VLOOKUP(登!$D$1,立男!$A$4:$I$100,4,0)+2400,VLOOKUP(登!$D$1,立男!$A$4:$I$100,4,0)+2500),IF(COUNT($D$53:$D$55)=3,VLOOKUP(登!$D$1,立女!$A$4:$I$100,4,0)+2400,VLOOKUP(登!$D$1,立女!$A$4:$I$100,4,0)+2500)))</f>
        <v/>
      </c>
      <c r="B54" s="161" t="s">
        <v>21</v>
      </c>
      <c r="C54" s="186" t="str">
        <f>IF(D54="","",登!$F$1)</f>
        <v/>
      </c>
      <c r="D54" s="64"/>
      <c r="E54" s="186">
        <v>37</v>
      </c>
      <c r="F54" s="164" t="str">
        <f>IF(D54="","",IF(OR(COUNTIF($D$13:$D$16,"")&gt;0,COUNTIF($D$17:$D$20,"")&gt;0),"団体から入力",IF(COUNTIF($D$26:D54,"")&gt;0,"立順9から詰めて入力",IF(INT(VALUE(RIGHT(D54,3))/100)=$B$2,VLOOKUP(D54,登!$B$4:$I$103,7,0),"部員番号入力ミス"))))</f>
        <v/>
      </c>
      <c r="G54" s="165" t="str">
        <f>IF(D54="","",IF(INT(VALUE(RIGHT(D54,3))/100)=$B$2,IF(VLOOKUP(D54,登!$B$4:$I$103,2,0)=登!$B$1,1,IF(VLOOKUP(D54,登!$B$4:$I$103,2,0)=登!$B$1-1,2,IF(VLOOKUP(D54,登!$B$4:$I$103,2,0)=登!$B$1-2,3,"学年ミス"))),"番号ミス"))</f>
        <v/>
      </c>
      <c r="H54" s="160" t="str">
        <f t="shared" si="1"/>
        <v/>
      </c>
    </row>
    <row r="55" spans="1:8" ht="12.75" customHeight="1">
      <c r="A55" s="175" t="str">
        <f>IF($D$53="","",IF($B$2=1,IF(COUNT($D$53:$D$55)=3,VLOOKUP(登!$D$1,立男!$A$4:$I$100,4,0)+2400,VLOOKUP(登!$D$1,立男!$A$4:$I$100,4,0)+2500),IF(COUNT($D$53:$D$55)=3,VLOOKUP(登!$D$1,立女!$A$4:$I$100,4,0)+2400,VLOOKUP(登!$D$1,立女!$A$4:$I$100,4,0)+2500)))</f>
        <v/>
      </c>
      <c r="B55" s="176" t="s">
        <v>21</v>
      </c>
      <c r="C55" s="187" t="str">
        <f>IF(D55="","",登!$F$1)</f>
        <v/>
      </c>
      <c r="D55" s="66"/>
      <c r="E55" s="187">
        <v>38</v>
      </c>
      <c r="F55" s="188" t="str">
        <f>IF(D55="","",IF(OR(COUNTIF($D$13:$D$16,"")&gt;0,COUNTIF($D$17:$D$20,"")&gt;0),"団体から入力",IF(COUNTIF($D$26:D55,"")&gt;0,"立順9から詰めて入力",IF(INT(VALUE(RIGHT(D55,3))/100)=$B$2,VLOOKUP(D55,登!$B$4:$I$103,7,0),"部員番号入力ミス"))))</f>
        <v/>
      </c>
      <c r="G55" s="181" t="str">
        <f>IF(D55="","",IF(INT(VALUE(RIGHT(D55,3))/100)=$B$2,IF(VLOOKUP(D55,登!$B$4:$I$103,2,0)=登!$B$1,1,IF(VLOOKUP(D55,登!$B$4:$I$103,2,0)=登!$B$1-1,2,IF(VLOOKUP(D55,登!$B$4:$I$103,2,0)=登!$B$1-2,3,"学年ミス"))),"番号ミス"))</f>
        <v/>
      </c>
      <c r="H55" s="175" t="str">
        <f t="shared" si="1"/>
        <v/>
      </c>
    </row>
    <row r="56" spans="1:8" ht="12.75" customHeight="1">
      <c r="A56" s="154" t="str">
        <f>IF($D$56="","",IF($B$2=1,IF(COUNT($D$56:$D$58)=3,VLOOKUP(登!$D$1,立男!$A$4:$I$100,4,0)+2600,VLOOKUP(登!$D$1,立男!$A$4:$I$100,4,0)+2700),IF(COUNT($D$56:$D$58)=3,VLOOKUP(登!$D$1,立女!$A$4:$I$100,4,0)+2600,VLOOKUP(登!$D$1,立女!$A$4:$I$100,4,0)+2700)))</f>
        <v/>
      </c>
      <c r="B56" s="155" t="s">
        <v>21</v>
      </c>
      <c r="C56" s="185" t="str">
        <f>IF(D56="","",登!$F$1)</f>
        <v/>
      </c>
      <c r="D56" s="63"/>
      <c r="E56" s="185">
        <v>39</v>
      </c>
      <c r="F56" s="158" t="str">
        <f>IF(D56="","",IF(OR(COUNTIF($D$13:$D$16,"")&gt;0,COUNTIF($D$17:$D$20,"")&gt;0),"団体から入力",IF(COUNTIF($D$26:D56,"")&gt;0,"立順9から詰めて入力",IF(INT(VALUE(RIGHT(D56,3))/100)=$B$2,VLOOKUP(D56,登!$B$4:$I$103,7,0),"部員番号入力ミス"))))</f>
        <v/>
      </c>
      <c r="G56" s="159" t="str">
        <f>IF(D56="","",IF(INT(VALUE(RIGHT(D56,3))/100)=$B$2,IF(VLOOKUP(D56,登!$B$4:$I$103,2,0)=登!$B$1,1,IF(VLOOKUP(D56,登!$B$4:$I$103,2,0)=登!$B$1-1,2,IF(VLOOKUP(D56,登!$B$4:$I$103,2,0)=登!$B$1-2,3,"学年ミス"))),"番号ミス"))</f>
        <v/>
      </c>
      <c r="H56" s="154" t="str">
        <f t="shared" si="1"/>
        <v/>
      </c>
    </row>
    <row r="57" spans="1:8" ht="12.75" customHeight="1">
      <c r="A57" s="160" t="str">
        <f>IF($D$56="","",IF($B$2=1,IF(COUNT($D$56:$D$58)=3,VLOOKUP(登!$D$1,立男!$A$4:$I$100,4,0)+2600,VLOOKUP(登!$D$1,立男!$A$4:$I$100,4,0)+2700),IF(COUNT($D$56:$D$58)=3,VLOOKUP(登!$D$1,立女!$A$4:$I$100,4,0)+2600,VLOOKUP(登!$D$1,立女!$A$4:$I$100,4,0)+2700)))</f>
        <v/>
      </c>
      <c r="B57" s="161" t="s">
        <v>21</v>
      </c>
      <c r="C57" s="186" t="str">
        <f>IF(D57="","",登!$F$1)</f>
        <v/>
      </c>
      <c r="D57" s="64"/>
      <c r="E57" s="186">
        <v>40</v>
      </c>
      <c r="F57" s="164" t="str">
        <f>IF(D57="","",IF(OR(COUNTIF($D$13:$D$16,"")&gt;0,COUNTIF($D$17:$D$20,"")&gt;0),"団体から入力",IF(COUNTIF($D$26:D57,"")&gt;0,"立順9から詰めて入力",IF(INT(VALUE(RIGHT(D57,3))/100)=$B$2,VLOOKUP(D57,登!$B$4:$I$103,7,0),"部員番号入力ミス"))))</f>
        <v/>
      </c>
      <c r="G57" s="165" t="str">
        <f>IF(D57="","",IF(INT(VALUE(RIGHT(D57,3))/100)=$B$2,IF(VLOOKUP(D57,登!$B$4:$I$103,2,0)=登!$B$1,1,IF(VLOOKUP(D57,登!$B$4:$I$103,2,0)=登!$B$1-1,2,IF(VLOOKUP(D57,登!$B$4:$I$103,2,0)=登!$B$1-2,3,"学年ミス"))),"番号ミス"))</f>
        <v/>
      </c>
      <c r="H57" s="160" t="str">
        <f t="shared" si="1"/>
        <v/>
      </c>
    </row>
    <row r="58" spans="1:8" ht="12.75" customHeight="1">
      <c r="A58" s="175" t="str">
        <f>IF($D$56="","",IF($B$2=1,IF(COUNT($D$56:$D$58)=3,VLOOKUP(登!$D$1,立男!$A$4:$I$100,4,0)+2600,VLOOKUP(登!$D$1,立男!$A$4:$I$100,4,0)+2700),IF(COUNT($D$56:$D$58)=3,VLOOKUP(登!$D$1,立女!$A$4:$I$100,4,0)+2600,VLOOKUP(登!$D$1,立女!$A$4:$I$100,4,0)+2700)))</f>
        <v/>
      </c>
      <c r="B58" s="176" t="s">
        <v>21</v>
      </c>
      <c r="C58" s="187" t="str">
        <f>IF(D58="","",登!$F$1)</f>
        <v/>
      </c>
      <c r="D58" s="66"/>
      <c r="E58" s="187">
        <v>41</v>
      </c>
      <c r="F58" s="188" t="str">
        <f>IF(D58="","",IF(OR(COUNTIF($D$13:$D$16,"")&gt;0,COUNTIF($D$17:$D$20,"")&gt;0),"団体から入力",IF(COUNTIF($D$26:D58,"")&gt;0,"立順9から詰めて入力",IF(INT(VALUE(RIGHT(D58,3))/100)=$B$2,VLOOKUP(D58,登!$B$4:$I$103,7,0),"部員番号入力ミス"))))</f>
        <v/>
      </c>
      <c r="G58" s="181" t="str">
        <f>IF(D58="","",IF(INT(VALUE(RIGHT(D58,3))/100)=$B$2,IF(VLOOKUP(D58,登!$B$4:$I$103,2,0)=登!$B$1,1,IF(VLOOKUP(D58,登!$B$4:$I$103,2,0)=登!$B$1-1,2,IF(VLOOKUP(D58,登!$B$4:$I$103,2,0)=登!$B$1-2,3,"学年ミス"))),"番号ミス"))</f>
        <v/>
      </c>
      <c r="H58" s="175" t="str">
        <f t="shared" si="1"/>
        <v/>
      </c>
    </row>
    <row r="59" spans="1:8" ht="7.5" customHeight="1"/>
    <row r="60" spans="1:8" s="75" customFormat="1" ht="12.75" customHeight="1">
      <c r="A60" s="410" t="s">
        <v>406</v>
      </c>
      <c r="B60" s="410"/>
      <c r="C60" s="410"/>
      <c r="D60" s="410"/>
      <c r="E60" s="407">
        <f>D7</f>
        <v>43573</v>
      </c>
      <c r="F60" s="408"/>
    </row>
    <row r="61" spans="1:8" s="75" customFormat="1" ht="12.75" customHeight="1">
      <c r="A61" s="255"/>
      <c r="B61" s="255"/>
      <c r="C61" s="255"/>
      <c r="D61" s="255"/>
      <c r="E61" s="189"/>
      <c r="F61" s="189"/>
    </row>
    <row r="62" spans="1:8" s="75" customFormat="1" ht="12.75" customHeight="1">
      <c r="A62" s="255"/>
      <c r="B62" s="255"/>
      <c r="C62" s="255"/>
      <c r="D62" s="255"/>
    </row>
    <row r="63" spans="1:8" s="75" customFormat="1" ht="12.75" customHeight="1">
      <c r="A63" s="189" t="s">
        <v>507</v>
      </c>
      <c r="B63" s="409" t="str">
        <f>IF(登!$D$1="",""," "&amp;VLOOKUP(登!$D$1,名!$G$2:$J$54,3,0))</f>
        <v/>
      </c>
      <c r="C63" s="409"/>
      <c r="D63" s="409"/>
      <c r="E63" s="189" t="s">
        <v>508</v>
      </c>
      <c r="F63" s="241" t="s">
        <v>529</v>
      </c>
      <c r="G63" s="254" t="s">
        <v>511</v>
      </c>
    </row>
    <row r="64" spans="1:8" s="75" customFormat="1" ht="12.75" customHeight="1">
      <c r="H64" s="74"/>
    </row>
    <row r="65" spans="1:11" s="75" customFormat="1" ht="12.75" customHeight="1">
      <c r="H65" s="74"/>
    </row>
    <row r="66" spans="1:11" s="75" customFormat="1" ht="12.75" customHeight="1">
      <c r="A66" s="189" t="s">
        <v>510</v>
      </c>
      <c r="B66" s="409" t="str">
        <f>IF(登!$D$1="",""," "&amp;VLOOKUP(登!$D$1,名!$G$2:$J$54,4,0))</f>
        <v/>
      </c>
      <c r="C66" s="409"/>
      <c r="D66" s="409"/>
      <c r="E66" s="189" t="s">
        <v>509</v>
      </c>
      <c r="F66" s="241" t="s">
        <v>529</v>
      </c>
      <c r="G66" s="254" t="s">
        <v>511</v>
      </c>
      <c r="H66" s="74"/>
      <c r="K66" s="190"/>
    </row>
    <row r="67" spans="1:11" s="75" customFormat="1" ht="7.5" customHeight="1">
      <c r="A67" s="190"/>
      <c r="B67" s="190"/>
      <c r="C67" s="190"/>
      <c r="D67" s="190"/>
      <c r="E67" s="190"/>
      <c r="F67" s="190"/>
      <c r="G67" s="190"/>
      <c r="H67" s="190"/>
      <c r="I67" s="190"/>
      <c r="J67" s="190"/>
      <c r="K67" s="190"/>
    </row>
    <row r="68" spans="1:11" s="75" customFormat="1" ht="7.5" customHeight="1">
      <c r="A68" s="190"/>
      <c r="B68" s="190"/>
      <c r="C68" s="190"/>
      <c r="D68" s="190"/>
      <c r="E68" s="190"/>
      <c r="F68" s="190"/>
      <c r="G68" s="190"/>
      <c r="H68" s="190"/>
      <c r="I68" s="190"/>
      <c r="J68" s="190"/>
      <c r="K68" s="190"/>
    </row>
    <row r="69" spans="1:11" ht="22.5" customHeight="1">
      <c r="A69" s="191"/>
      <c r="B69" s="256">
        <f>B2</f>
        <v>1</v>
      </c>
      <c r="C69" s="398" t="str">
        <f>C2</f>
        <v>平成31年度県高等学校弓道春季大会</v>
      </c>
      <c r="D69" s="399"/>
      <c r="E69" s="399"/>
      <c r="F69" s="399"/>
      <c r="G69" s="400"/>
      <c r="H69" s="192"/>
      <c r="I69" s="191"/>
    </row>
    <row r="70" spans="1:11" ht="12.75" customHeight="1">
      <c r="A70" s="191"/>
      <c r="B70" s="193"/>
      <c r="C70" s="193"/>
      <c r="D70" s="194"/>
      <c r="E70" s="194"/>
      <c r="F70" s="194"/>
      <c r="G70" s="195"/>
      <c r="H70" s="192"/>
      <c r="I70" s="191"/>
    </row>
    <row r="71" spans="1:11" ht="12.75" customHeight="1">
      <c r="A71" s="191"/>
      <c r="B71" s="401" t="s">
        <v>11</v>
      </c>
      <c r="C71" s="401"/>
      <c r="D71" s="402" t="str">
        <f>D4</f>
        <v>○　○　○　○</v>
      </c>
      <c r="E71" s="403"/>
      <c r="F71" s="404"/>
      <c r="G71" s="405" t="s">
        <v>205</v>
      </c>
      <c r="H71" s="406"/>
      <c r="I71" s="196">
        <f>I4</f>
        <v>0</v>
      </c>
      <c r="J71" s="142"/>
    </row>
    <row r="72" spans="1:11" ht="12.75" customHeight="1">
      <c r="A72" s="191"/>
      <c r="B72" s="193"/>
      <c r="C72" s="193"/>
      <c r="D72" s="194"/>
      <c r="E72" s="194"/>
      <c r="F72" s="194"/>
      <c r="G72" s="194"/>
      <c r="H72" s="192"/>
      <c r="I72" s="191"/>
    </row>
    <row r="73" spans="1:11" ht="12.75" customHeight="1">
      <c r="A73" s="191"/>
      <c r="B73" s="388" t="s">
        <v>39</v>
      </c>
      <c r="C73" s="388"/>
      <c r="D73" s="397">
        <f>D6</f>
        <v>1</v>
      </c>
      <c r="E73" s="397"/>
      <c r="F73" s="397"/>
      <c r="G73" s="397"/>
      <c r="H73" s="192"/>
      <c r="I73" s="191"/>
    </row>
    <row r="74" spans="1:11" ht="12.75" customHeight="1">
      <c r="A74" s="191"/>
      <c r="B74" s="388" t="s">
        <v>40</v>
      </c>
      <c r="C74" s="388"/>
      <c r="D74" s="389">
        <f>D7</f>
        <v>43573</v>
      </c>
      <c r="E74" s="390"/>
      <c r="F74" s="391" t="str">
        <f>F7</f>
        <v>木曜日　１６時</v>
      </c>
      <c r="G74" s="392"/>
      <c r="H74" s="192"/>
      <c r="I74" s="191"/>
    </row>
    <row r="75" spans="1:11" ht="12.75" customHeight="1">
      <c r="A75" s="191"/>
      <c r="B75" s="388" t="s">
        <v>38</v>
      </c>
      <c r="C75" s="388"/>
      <c r="D75" s="389">
        <f>D8</f>
        <v>43583</v>
      </c>
      <c r="E75" s="390"/>
      <c r="F75" s="391" t="str">
        <f>F8</f>
        <v>日曜日</v>
      </c>
      <c r="G75" s="392"/>
      <c r="H75" s="192"/>
      <c r="I75" s="191"/>
    </row>
    <row r="76" spans="1:11" ht="12.75" customHeight="1">
      <c r="A76" s="191"/>
      <c r="B76" s="388" t="s">
        <v>41</v>
      </c>
      <c r="C76" s="388"/>
      <c r="D76" s="393" t="s">
        <v>45</v>
      </c>
      <c r="E76" s="394"/>
      <c r="F76" s="395" t="s">
        <v>46</v>
      </c>
      <c r="G76" s="396"/>
      <c r="H76" s="192"/>
      <c r="I76" s="191"/>
    </row>
    <row r="77" spans="1:11" ht="12.75" customHeight="1">
      <c r="A77" s="191"/>
      <c r="B77" s="197"/>
      <c r="C77" s="197"/>
      <c r="D77" s="195"/>
      <c r="E77" s="195"/>
      <c r="F77" s="195"/>
      <c r="G77" s="195"/>
      <c r="H77" s="192"/>
      <c r="I77" s="191"/>
    </row>
    <row r="78" spans="1:11" ht="22.5" customHeight="1">
      <c r="A78" s="191"/>
      <c r="B78" s="384" t="str">
        <f>B11</f>
        <v>男　子　団　体　参　加　申　込　書</v>
      </c>
      <c r="C78" s="384"/>
      <c r="D78" s="384"/>
      <c r="E78" s="384"/>
      <c r="F78" s="384"/>
      <c r="G78" s="384"/>
      <c r="H78" s="192"/>
      <c r="I78" s="191"/>
    </row>
    <row r="79" spans="1:11" ht="12.75" customHeight="1">
      <c r="A79" s="256" t="s">
        <v>32</v>
      </c>
      <c r="B79" s="198" t="s">
        <v>18</v>
      </c>
      <c r="C79" s="199" t="s">
        <v>10</v>
      </c>
      <c r="D79" s="200" t="s">
        <v>33</v>
      </c>
      <c r="E79" s="201" t="s">
        <v>12</v>
      </c>
      <c r="F79" s="202" t="s">
        <v>13</v>
      </c>
      <c r="G79" s="203" t="s">
        <v>14</v>
      </c>
      <c r="H79" s="256" t="s">
        <v>47</v>
      </c>
      <c r="I79" s="191"/>
    </row>
    <row r="80" spans="1:11" ht="12.75" customHeight="1">
      <c r="A80" s="204" t="str">
        <f t="shared" ref="A80:H89" si="2">IF(A13="","",A13)</f>
        <v/>
      </c>
      <c r="B80" s="205" t="str">
        <f t="shared" si="2"/>
        <v>Ａ</v>
      </c>
      <c r="C80" s="206" t="str">
        <f t="shared" si="2"/>
        <v/>
      </c>
      <c r="D80" s="139" t="str">
        <f t="shared" si="2"/>
        <v/>
      </c>
      <c r="E80" s="207">
        <f t="shared" si="2"/>
        <v>1</v>
      </c>
      <c r="F80" s="208" t="str">
        <f t="shared" si="2"/>
        <v/>
      </c>
      <c r="G80" s="209" t="str">
        <f t="shared" si="2"/>
        <v/>
      </c>
      <c r="H80" s="204" t="str">
        <f t="shared" si="2"/>
        <v/>
      </c>
      <c r="I80" s="191"/>
    </row>
    <row r="81" spans="1:9" ht="12.75" customHeight="1">
      <c r="A81" s="210" t="str">
        <f t="shared" si="2"/>
        <v/>
      </c>
      <c r="B81" s="211" t="str">
        <f t="shared" si="2"/>
        <v>Ａ</v>
      </c>
      <c r="C81" s="212" t="str">
        <f t="shared" si="2"/>
        <v/>
      </c>
      <c r="D81" s="140" t="str">
        <f t="shared" si="2"/>
        <v/>
      </c>
      <c r="E81" s="213">
        <f t="shared" si="2"/>
        <v>2</v>
      </c>
      <c r="F81" s="214" t="str">
        <f t="shared" si="2"/>
        <v/>
      </c>
      <c r="G81" s="215" t="str">
        <f t="shared" si="2"/>
        <v/>
      </c>
      <c r="H81" s="210" t="str">
        <f t="shared" si="2"/>
        <v/>
      </c>
      <c r="I81" s="191"/>
    </row>
    <row r="82" spans="1:9" ht="12.75" customHeight="1">
      <c r="A82" s="210" t="str">
        <f t="shared" si="2"/>
        <v/>
      </c>
      <c r="B82" s="211" t="str">
        <f t="shared" si="2"/>
        <v>Ａ</v>
      </c>
      <c r="C82" s="212" t="str">
        <f t="shared" si="2"/>
        <v/>
      </c>
      <c r="D82" s="140" t="str">
        <f t="shared" si="2"/>
        <v/>
      </c>
      <c r="E82" s="213">
        <f t="shared" si="2"/>
        <v>3</v>
      </c>
      <c r="F82" s="214" t="str">
        <f t="shared" si="2"/>
        <v/>
      </c>
      <c r="G82" s="215" t="str">
        <f t="shared" si="2"/>
        <v/>
      </c>
      <c r="H82" s="210" t="str">
        <f t="shared" si="2"/>
        <v/>
      </c>
      <c r="I82" s="191"/>
    </row>
    <row r="83" spans="1:9" ht="12.75" customHeight="1">
      <c r="A83" s="216" t="str">
        <f t="shared" si="2"/>
        <v/>
      </c>
      <c r="B83" s="217" t="str">
        <f t="shared" si="2"/>
        <v>Ａ</v>
      </c>
      <c r="C83" s="218" t="str">
        <f t="shared" si="2"/>
        <v/>
      </c>
      <c r="D83" s="219" t="str">
        <f t="shared" si="2"/>
        <v/>
      </c>
      <c r="E83" s="220">
        <f t="shared" si="2"/>
        <v>4</v>
      </c>
      <c r="F83" s="221" t="str">
        <f t="shared" si="2"/>
        <v/>
      </c>
      <c r="G83" s="222" t="str">
        <f t="shared" si="2"/>
        <v/>
      </c>
      <c r="H83" s="216" t="str">
        <f t="shared" si="2"/>
        <v/>
      </c>
      <c r="I83" s="191"/>
    </row>
    <row r="84" spans="1:9" ht="12.75" customHeight="1">
      <c r="A84" s="204" t="str">
        <f t="shared" si="2"/>
        <v/>
      </c>
      <c r="B84" s="205" t="str">
        <f t="shared" si="2"/>
        <v>Ｂ</v>
      </c>
      <c r="C84" s="206" t="str">
        <f t="shared" si="2"/>
        <v/>
      </c>
      <c r="D84" s="139" t="str">
        <f t="shared" si="2"/>
        <v/>
      </c>
      <c r="E84" s="207">
        <f t="shared" si="2"/>
        <v>5</v>
      </c>
      <c r="F84" s="208" t="str">
        <f t="shared" si="2"/>
        <v/>
      </c>
      <c r="G84" s="209" t="str">
        <f t="shared" si="2"/>
        <v/>
      </c>
      <c r="H84" s="204" t="str">
        <f t="shared" si="2"/>
        <v/>
      </c>
      <c r="I84" s="191"/>
    </row>
    <row r="85" spans="1:9" ht="12.75" customHeight="1">
      <c r="A85" s="210" t="str">
        <f t="shared" si="2"/>
        <v/>
      </c>
      <c r="B85" s="211" t="str">
        <f t="shared" si="2"/>
        <v>Ｂ</v>
      </c>
      <c r="C85" s="212" t="str">
        <f t="shared" si="2"/>
        <v/>
      </c>
      <c r="D85" s="140" t="str">
        <f t="shared" si="2"/>
        <v/>
      </c>
      <c r="E85" s="213">
        <f t="shared" si="2"/>
        <v>6</v>
      </c>
      <c r="F85" s="214" t="str">
        <f t="shared" si="2"/>
        <v/>
      </c>
      <c r="G85" s="215" t="str">
        <f t="shared" si="2"/>
        <v/>
      </c>
      <c r="H85" s="210" t="str">
        <f t="shared" si="2"/>
        <v/>
      </c>
      <c r="I85" s="191"/>
    </row>
    <row r="86" spans="1:9" ht="12.75" customHeight="1">
      <c r="A86" s="210" t="str">
        <f t="shared" si="2"/>
        <v/>
      </c>
      <c r="B86" s="211" t="str">
        <f t="shared" si="2"/>
        <v>Ｂ</v>
      </c>
      <c r="C86" s="212" t="str">
        <f t="shared" si="2"/>
        <v/>
      </c>
      <c r="D86" s="140" t="str">
        <f t="shared" si="2"/>
        <v/>
      </c>
      <c r="E86" s="213">
        <f t="shared" si="2"/>
        <v>7</v>
      </c>
      <c r="F86" s="214" t="str">
        <f t="shared" si="2"/>
        <v/>
      </c>
      <c r="G86" s="215" t="str">
        <f t="shared" si="2"/>
        <v/>
      </c>
      <c r="H86" s="210" t="str">
        <f t="shared" si="2"/>
        <v/>
      </c>
      <c r="I86" s="191"/>
    </row>
    <row r="87" spans="1:9" ht="12.75" customHeight="1">
      <c r="A87" s="216" t="str">
        <f t="shared" si="2"/>
        <v/>
      </c>
      <c r="B87" s="217" t="str">
        <f t="shared" si="2"/>
        <v>Ｂ</v>
      </c>
      <c r="C87" s="218" t="str">
        <f t="shared" si="2"/>
        <v/>
      </c>
      <c r="D87" s="219" t="str">
        <f t="shared" si="2"/>
        <v/>
      </c>
      <c r="E87" s="220">
        <f t="shared" si="2"/>
        <v>8</v>
      </c>
      <c r="F87" s="221" t="str">
        <f t="shared" si="2"/>
        <v/>
      </c>
      <c r="G87" s="222" t="str">
        <f t="shared" si="2"/>
        <v/>
      </c>
      <c r="H87" s="216" t="str">
        <f t="shared" si="2"/>
        <v/>
      </c>
      <c r="I87" s="191"/>
    </row>
    <row r="88" spans="1:9" ht="12.75" customHeight="1">
      <c r="A88" s="204" t="str">
        <f t="shared" si="2"/>
        <v/>
      </c>
      <c r="B88" s="205" t="str">
        <f t="shared" si="2"/>
        <v>Ａ</v>
      </c>
      <c r="C88" s="206" t="str">
        <f t="shared" si="2"/>
        <v/>
      </c>
      <c r="D88" s="139" t="str">
        <f t="shared" si="2"/>
        <v/>
      </c>
      <c r="E88" s="207">
        <f t="shared" si="2"/>
        <v>4</v>
      </c>
      <c r="F88" s="223" t="str">
        <f t="shared" si="2"/>
        <v/>
      </c>
      <c r="G88" s="209" t="str">
        <f t="shared" si="2"/>
        <v/>
      </c>
      <c r="H88" s="224" t="str">
        <f t="shared" si="2"/>
        <v xml:space="preserve"> </v>
      </c>
      <c r="I88" s="191"/>
    </row>
    <row r="89" spans="1:9" ht="12.75" customHeight="1">
      <c r="A89" s="225" t="str">
        <f t="shared" si="2"/>
        <v/>
      </c>
      <c r="B89" s="226" t="str">
        <f t="shared" si="2"/>
        <v>Ｂ</v>
      </c>
      <c r="C89" s="227" t="str">
        <f t="shared" si="2"/>
        <v/>
      </c>
      <c r="D89" s="141" t="str">
        <f t="shared" si="2"/>
        <v/>
      </c>
      <c r="E89" s="228">
        <f t="shared" si="2"/>
        <v>8</v>
      </c>
      <c r="F89" s="229" t="str">
        <f t="shared" si="2"/>
        <v/>
      </c>
      <c r="G89" s="230" t="str">
        <f t="shared" si="2"/>
        <v/>
      </c>
      <c r="H89" s="231" t="str">
        <f t="shared" si="2"/>
        <v xml:space="preserve"> </v>
      </c>
      <c r="I89" s="191"/>
    </row>
    <row r="90" spans="1:9" ht="12.75" customHeight="1">
      <c r="A90" s="191"/>
      <c r="B90" s="232" t="s">
        <v>15</v>
      </c>
      <c r="C90" s="233"/>
      <c r="D90" s="233"/>
      <c r="E90" s="233"/>
      <c r="F90" s="233"/>
      <c r="G90" s="233"/>
      <c r="H90" s="192"/>
      <c r="I90" s="191"/>
    </row>
    <row r="91" spans="1:9" ht="22.5" customHeight="1">
      <c r="A91" s="191"/>
      <c r="B91" s="384" t="str">
        <f>B24</f>
        <v>男　子　個　人　参　加　申　込　書</v>
      </c>
      <c r="C91" s="384"/>
      <c r="D91" s="384"/>
      <c r="E91" s="384"/>
      <c r="F91" s="384"/>
      <c r="G91" s="384"/>
      <c r="H91" s="192"/>
      <c r="I91" s="191"/>
    </row>
    <row r="92" spans="1:9" ht="12.75" customHeight="1">
      <c r="A92" s="256" t="s">
        <v>32</v>
      </c>
      <c r="B92" s="198" t="s">
        <v>18</v>
      </c>
      <c r="C92" s="202" t="s">
        <v>10</v>
      </c>
      <c r="D92" s="200" t="s">
        <v>33</v>
      </c>
      <c r="E92" s="202" t="s">
        <v>12</v>
      </c>
      <c r="F92" s="202" t="s">
        <v>13</v>
      </c>
      <c r="G92" s="203" t="s">
        <v>14</v>
      </c>
      <c r="H92" s="256" t="s">
        <v>47</v>
      </c>
      <c r="I92" s="191"/>
    </row>
    <row r="93" spans="1:9" ht="12.75" customHeight="1">
      <c r="A93" s="204" t="str">
        <f t="shared" ref="A93:A108" si="3">IF(A26="","",A26)</f>
        <v/>
      </c>
      <c r="B93" s="205" t="str">
        <f t="shared" ref="B93:H93" si="4">IF(B26="","",B26)</f>
        <v>個</v>
      </c>
      <c r="C93" s="234" t="str">
        <f t="shared" si="4"/>
        <v/>
      </c>
      <c r="D93" s="139" t="str">
        <f t="shared" si="4"/>
        <v/>
      </c>
      <c r="E93" s="234">
        <f t="shared" si="4"/>
        <v>9</v>
      </c>
      <c r="F93" s="208" t="str">
        <f t="shared" si="4"/>
        <v/>
      </c>
      <c r="G93" s="209" t="str">
        <f t="shared" si="4"/>
        <v/>
      </c>
      <c r="H93" s="204" t="str">
        <f t="shared" si="4"/>
        <v/>
      </c>
      <c r="I93" s="191"/>
    </row>
    <row r="94" spans="1:9" ht="12.75" customHeight="1">
      <c r="A94" s="210" t="str">
        <f t="shared" si="3"/>
        <v/>
      </c>
      <c r="B94" s="211" t="str">
        <f t="shared" ref="B94:H94" si="5">IF(B27="","",B27)</f>
        <v>個</v>
      </c>
      <c r="C94" s="235" t="str">
        <f t="shared" si="5"/>
        <v/>
      </c>
      <c r="D94" s="140" t="str">
        <f t="shared" si="5"/>
        <v/>
      </c>
      <c r="E94" s="235">
        <f t="shared" si="5"/>
        <v>10</v>
      </c>
      <c r="F94" s="214" t="str">
        <f t="shared" si="5"/>
        <v/>
      </c>
      <c r="G94" s="215" t="str">
        <f t="shared" si="5"/>
        <v/>
      </c>
      <c r="H94" s="210" t="str">
        <f t="shared" si="5"/>
        <v/>
      </c>
      <c r="I94" s="191"/>
    </row>
    <row r="95" spans="1:9" ht="12.75" customHeight="1">
      <c r="A95" s="225" t="str">
        <f t="shared" si="3"/>
        <v/>
      </c>
      <c r="B95" s="226" t="str">
        <f t="shared" ref="B95:H95" si="6">IF(B28="","",B28)</f>
        <v>個</v>
      </c>
      <c r="C95" s="236" t="str">
        <f t="shared" si="6"/>
        <v/>
      </c>
      <c r="D95" s="141" t="str">
        <f t="shared" si="6"/>
        <v/>
      </c>
      <c r="E95" s="236">
        <f t="shared" si="6"/>
        <v>11</v>
      </c>
      <c r="F95" s="237" t="str">
        <f t="shared" si="6"/>
        <v/>
      </c>
      <c r="G95" s="230" t="str">
        <f t="shared" si="6"/>
        <v/>
      </c>
      <c r="H95" s="225" t="str">
        <f t="shared" si="6"/>
        <v/>
      </c>
      <c r="I95" s="191"/>
    </row>
    <row r="96" spans="1:9" ht="12.75" customHeight="1">
      <c r="A96" s="204" t="str">
        <f t="shared" si="3"/>
        <v/>
      </c>
      <c r="B96" s="205" t="str">
        <f t="shared" ref="B96:H96" si="7">IF(B29="","",B29)</f>
        <v>個</v>
      </c>
      <c r="C96" s="234" t="str">
        <f t="shared" si="7"/>
        <v/>
      </c>
      <c r="D96" s="139" t="str">
        <f t="shared" si="7"/>
        <v/>
      </c>
      <c r="E96" s="234">
        <f t="shared" si="7"/>
        <v>12</v>
      </c>
      <c r="F96" s="208" t="str">
        <f t="shared" si="7"/>
        <v/>
      </c>
      <c r="G96" s="209" t="str">
        <f t="shared" si="7"/>
        <v/>
      </c>
      <c r="H96" s="204" t="str">
        <f t="shared" si="7"/>
        <v/>
      </c>
      <c r="I96" s="191"/>
    </row>
    <row r="97" spans="1:11" ht="12.75" customHeight="1">
      <c r="A97" s="210" t="str">
        <f t="shared" si="3"/>
        <v/>
      </c>
      <c r="B97" s="211" t="str">
        <f t="shared" ref="B97:H97" si="8">IF(B30="","",B30)</f>
        <v>個</v>
      </c>
      <c r="C97" s="235" t="str">
        <f t="shared" si="8"/>
        <v/>
      </c>
      <c r="D97" s="140" t="str">
        <f t="shared" si="8"/>
        <v/>
      </c>
      <c r="E97" s="235">
        <f t="shared" si="8"/>
        <v>13</v>
      </c>
      <c r="F97" s="214" t="str">
        <f t="shared" si="8"/>
        <v/>
      </c>
      <c r="G97" s="215" t="str">
        <f t="shared" si="8"/>
        <v/>
      </c>
      <c r="H97" s="210" t="str">
        <f t="shared" si="8"/>
        <v/>
      </c>
      <c r="I97" s="191"/>
    </row>
    <row r="98" spans="1:11" ht="12.75" customHeight="1">
      <c r="A98" s="225" t="str">
        <f t="shared" si="3"/>
        <v/>
      </c>
      <c r="B98" s="226" t="str">
        <f t="shared" ref="B98:H98" si="9">IF(B31="","",B31)</f>
        <v>個</v>
      </c>
      <c r="C98" s="236" t="str">
        <f t="shared" si="9"/>
        <v/>
      </c>
      <c r="D98" s="141" t="str">
        <f t="shared" si="9"/>
        <v/>
      </c>
      <c r="E98" s="236">
        <f t="shared" si="9"/>
        <v>14</v>
      </c>
      <c r="F98" s="237" t="str">
        <f t="shared" si="9"/>
        <v/>
      </c>
      <c r="G98" s="230" t="str">
        <f t="shared" si="9"/>
        <v/>
      </c>
      <c r="H98" s="225" t="str">
        <f t="shared" si="9"/>
        <v/>
      </c>
      <c r="I98" s="191"/>
    </row>
    <row r="99" spans="1:11" ht="12.75" customHeight="1">
      <c r="A99" s="204" t="str">
        <f t="shared" si="3"/>
        <v/>
      </c>
      <c r="B99" s="205" t="str">
        <f t="shared" ref="B99:H99" si="10">IF(B32="","",B32)</f>
        <v>個</v>
      </c>
      <c r="C99" s="234" t="str">
        <f t="shared" si="10"/>
        <v/>
      </c>
      <c r="D99" s="139" t="str">
        <f t="shared" si="10"/>
        <v/>
      </c>
      <c r="E99" s="234">
        <f t="shared" si="10"/>
        <v>15</v>
      </c>
      <c r="F99" s="208" t="str">
        <f t="shared" si="10"/>
        <v/>
      </c>
      <c r="G99" s="209" t="str">
        <f t="shared" si="10"/>
        <v/>
      </c>
      <c r="H99" s="204" t="str">
        <f t="shared" si="10"/>
        <v/>
      </c>
      <c r="I99" s="191"/>
    </row>
    <row r="100" spans="1:11" ht="12.75" customHeight="1">
      <c r="A100" s="210" t="str">
        <f t="shared" si="3"/>
        <v/>
      </c>
      <c r="B100" s="211" t="str">
        <f t="shared" ref="B100:H100" si="11">IF(B33="","",B33)</f>
        <v>個</v>
      </c>
      <c r="C100" s="235" t="str">
        <f t="shared" si="11"/>
        <v/>
      </c>
      <c r="D100" s="140" t="str">
        <f t="shared" si="11"/>
        <v/>
      </c>
      <c r="E100" s="235">
        <f t="shared" si="11"/>
        <v>16</v>
      </c>
      <c r="F100" s="214" t="str">
        <f t="shared" si="11"/>
        <v/>
      </c>
      <c r="G100" s="215" t="str">
        <f t="shared" si="11"/>
        <v/>
      </c>
      <c r="H100" s="210" t="str">
        <f t="shared" si="11"/>
        <v/>
      </c>
      <c r="I100" s="191"/>
    </row>
    <row r="101" spans="1:11" ht="12.75" customHeight="1">
      <c r="A101" s="225" t="str">
        <f t="shared" si="3"/>
        <v/>
      </c>
      <c r="B101" s="226" t="str">
        <f t="shared" ref="B101:H101" si="12">IF(B34="","",B34)</f>
        <v>個</v>
      </c>
      <c r="C101" s="236" t="str">
        <f t="shared" si="12"/>
        <v/>
      </c>
      <c r="D101" s="141" t="str">
        <f t="shared" si="12"/>
        <v/>
      </c>
      <c r="E101" s="236">
        <f t="shared" si="12"/>
        <v>17</v>
      </c>
      <c r="F101" s="237" t="str">
        <f t="shared" si="12"/>
        <v/>
      </c>
      <c r="G101" s="230" t="str">
        <f t="shared" si="12"/>
        <v/>
      </c>
      <c r="H101" s="225" t="str">
        <f t="shared" si="12"/>
        <v/>
      </c>
      <c r="I101" s="191"/>
      <c r="K101" s="147"/>
    </row>
    <row r="102" spans="1:11" ht="12.75" customHeight="1">
      <c r="A102" s="204" t="str">
        <f t="shared" si="3"/>
        <v/>
      </c>
      <c r="B102" s="205" t="str">
        <f t="shared" ref="B102:H102" si="13">IF(B35="","",B35)</f>
        <v>個</v>
      </c>
      <c r="C102" s="234" t="str">
        <f t="shared" si="13"/>
        <v/>
      </c>
      <c r="D102" s="139" t="str">
        <f t="shared" si="13"/>
        <v/>
      </c>
      <c r="E102" s="234">
        <f t="shared" si="13"/>
        <v>18</v>
      </c>
      <c r="F102" s="208" t="str">
        <f t="shared" si="13"/>
        <v/>
      </c>
      <c r="G102" s="209" t="str">
        <f t="shared" si="13"/>
        <v/>
      </c>
      <c r="H102" s="204" t="str">
        <f t="shared" si="13"/>
        <v/>
      </c>
      <c r="I102" s="191"/>
      <c r="K102" s="147"/>
    </row>
    <row r="103" spans="1:11" ht="12.75" customHeight="1">
      <c r="A103" s="210" t="str">
        <f t="shared" si="3"/>
        <v/>
      </c>
      <c r="B103" s="211" t="str">
        <f t="shared" ref="B103:H103" si="14">IF(B36="","",B36)</f>
        <v>個</v>
      </c>
      <c r="C103" s="235" t="str">
        <f t="shared" si="14"/>
        <v/>
      </c>
      <c r="D103" s="140" t="str">
        <f t="shared" si="14"/>
        <v/>
      </c>
      <c r="E103" s="235">
        <f t="shared" si="14"/>
        <v>19</v>
      </c>
      <c r="F103" s="214" t="str">
        <f t="shared" si="14"/>
        <v/>
      </c>
      <c r="G103" s="215" t="str">
        <f t="shared" si="14"/>
        <v/>
      </c>
      <c r="H103" s="210" t="str">
        <f t="shared" si="14"/>
        <v/>
      </c>
      <c r="I103" s="191"/>
      <c r="K103" s="147"/>
    </row>
    <row r="104" spans="1:11" ht="12.75" customHeight="1">
      <c r="A104" s="225" t="str">
        <f t="shared" si="3"/>
        <v/>
      </c>
      <c r="B104" s="226" t="str">
        <f t="shared" ref="B104:H104" si="15">IF(B37="","",B37)</f>
        <v>個</v>
      </c>
      <c r="C104" s="236" t="str">
        <f t="shared" si="15"/>
        <v/>
      </c>
      <c r="D104" s="141" t="str">
        <f t="shared" si="15"/>
        <v/>
      </c>
      <c r="E104" s="236">
        <f t="shared" si="15"/>
        <v>20</v>
      </c>
      <c r="F104" s="237" t="str">
        <f t="shared" si="15"/>
        <v/>
      </c>
      <c r="G104" s="230" t="str">
        <f t="shared" si="15"/>
        <v/>
      </c>
      <c r="H104" s="225" t="str">
        <f t="shared" si="15"/>
        <v/>
      </c>
      <c r="I104" s="191"/>
      <c r="K104" s="147"/>
    </row>
    <row r="105" spans="1:11" ht="12.75" customHeight="1">
      <c r="A105" s="204" t="str">
        <f t="shared" si="3"/>
        <v/>
      </c>
      <c r="B105" s="205" t="str">
        <f t="shared" ref="B105:H105" si="16">IF(B38="","",B38)</f>
        <v>個</v>
      </c>
      <c r="C105" s="234" t="str">
        <f t="shared" si="16"/>
        <v/>
      </c>
      <c r="D105" s="139" t="str">
        <f t="shared" si="16"/>
        <v/>
      </c>
      <c r="E105" s="234">
        <f t="shared" si="16"/>
        <v>21</v>
      </c>
      <c r="F105" s="208" t="str">
        <f t="shared" si="16"/>
        <v/>
      </c>
      <c r="G105" s="209" t="str">
        <f t="shared" si="16"/>
        <v/>
      </c>
      <c r="H105" s="204" t="str">
        <f t="shared" si="16"/>
        <v/>
      </c>
      <c r="I105" s="191"/>
      <c r="K105" s="147"/>
    </row>
    <row r="106" spans="1:11" ht="12.75" customHeight="1">
      <c r="A106" s="210" t="str">
        <f t="shared" si="3"/>
        <v/>
      </c>
      <c r="B106" s="211" t="str">
        <f t="shared" ref="B106:H106" si="17">IF(B39="","",B39)</f>
        <v>個</v>
      </c>
      <c r="C106" s="235" t="str">
        <f t="shared" si="17"/>
        <v/>
      </c>
      <c r="D106" s="140" t="str">
        <f t="shared" si="17"/>
        <v/>
      </c>
      <c r="E106" s="235">
        <f t="shared" si="17"/>
        <v>22</v>
      </c>
      <c r="F106" s="214" t="str">
        <f t="shared" si="17"/>
        <v/>
      </c>
      <c r="G106" s="215" t="str">
        <f t="shared" si="17"/>
        <v/>
      </c>
      <c r="H106" s="210" t="str">
        <f t="shared" si="17"/>
        <v/>
      </c>
      <c r="I106" s="191"/>
    </row>
    <row r="107" spans="1:11" ht="12.75" customHeight="1">
      <c r="A107" s="225" t="str">
        <f t="shared" si="3"/>
        <v/>
      </c>
      <c r="B107" s="226" t="str">
        <f t="shared" ref="B107:H107" si="18">IF(B40="","",B40)</f>
        <v>個</v>
      </c>
      <c r="C107" s="236" t="str">
        <f t="shared" si="18"/>
        <v/>
      </c>
      <c r="D107" s="141" t="str">
        <f t="shared" si="18"/>
        <v/>
      </c>
      <c r="E107" s="236">
        <f t="shared" si="18"/>
        <v>23</v>
      </c>
      <c r="F107" s="237" t="str">
        <f t="shared" si="18"/>
        <v/>
      </c>
      <c r="G107" s="230" t="str">
        <f t="shared" si="18"/>
        <v/>
      </c>
      <c r="H107" s="225" t="str">
        <f t="shared" si="18"/>
        <v/>
      </c>
      <c r="I107" s="191"/>
    </row>
    <row r="108" spans="1:11" ht="12.75" customHeight="1">
      <c r="A108" s="204" t="str">
        <f t="shared" si="3"/>
        <v/>
      </c>
      <c r="B108" s="205" t="str">
        <f t="shared" ref="B108:H108" si="19">IF(B41="","",B41)</f>
        <v>個</v>
      </c>
      <c r="C108" s="234" t="str">
        <f t="shared" si="19"/>
        <v/>
      </c>
      <c r="D108" s="139" t="str">
        <f t="shared" si="19"/>
        <v/>
      </c>
      <c r="E108" s="234">
        <f t="shared" si="19"/>
        <v>24</v>
      </c>
      <c r="F108" s="208" t="str">
        <f t="shared" si="19"/>
        <v/>
      </c>
      <c r="G108" s="209" t="str">
        <f t="shared" si="19"/>
        <v/>
      </c>
      <c r="H108" s="204" t="str">
        <f t="shared" si="19"/>
        <v/>
      </c>
      <c r="I108" s="191"/>
    </row>
    <row r="109" spans="1:11" ht="12.75" customHeight="1">
      <c r="A109" s="210" t="str">
        <f t="shared" ref="A109:A124" si="20">IF(A42="","",A42)</f>
        <v/>
      </c>
      <c r="B109" s="211" t="str">
        <f t="shared" ref="B109:H109" si="21">IF(B42="","",B42)</f>
        <v>個</v>
      </c>
      <c r="C109" s="235" t="str">
        <f t="shared" si="21"/>
        <v/>
      </c>
      <c r="D109" s="140" t="str">
        <f t="shared" si="21"/>
        <v/>
      </c>
      <c r="E109" s="235">
        <f t="shared" si="21"/>
        <v>25</v>
      </c>
      <c r="F109" s="214" t="str">
        <f t="shared" si="21"/>
        <v/>
      </c>
      <c r="G109" s="215" t="str">
        <f t="shared" si="21"/>
        <v/>
      </c>
      <c r="H109" s="210" t="str">
        <f t="shared" si="21"/>
        <v/>
      </c>
      <c r="I109" s="191"/>
    </row>
    <row r="110" spans="1:11" ht="12.75" customHeight="1">
      <c r="A110" s="225" t="str">
        <f t="shared" si="20"/>
        <v/>
      </c>
      <c r="B110" s="226" t="str">
        <f t="shared" ref="B110:H110" si="22">IF(B43="","",B43)</f>
        <v>個</v>
      </c>
      <c r="C110" s="236" t="str">
        <f t="shared" si="22"/>
        <v/>
      </c>
      <c r="D110" s="141" t="str">
        <f t="shared" si="22"/>
        <v/>
      </c>
      <c r="E110" s="236">
        <f t="shared" si="22"/>
        <v>26</v>
      </c>
      <c r="F110" s="237" t="str">
        <f t="shared" si="22"/>
        <v/>
      </c>
      <c r="G110" s="230" t="str">
        <f t="shared" si="22"/>
        <v/>
      </c>
      <c r="H110" s="225" t="str">
        <f t="shared" si="22"/>
        <v/>
      </c>
      <c r="I110" s="191"/>
    </row>
    <row r="111" spans="1:11" ht="12.75" customHeight="1">
      <c r="A111" s="204" t="str">
        <f t="shared" si="20"/>
        <v/>
      </c>
      <c r="B111" s="205" t="str">
        <f t="shared" ref="B111:H111" si="23">IF(B44="","",B44)</f>
        <v>個</v>
      </c>
      <c r="C111" s="234" t="str">
        <f t="shared" si="23"/>
        <v/>
      </c>
      <c r="D111" s="139" t="str">
        <f t="shared" si="23"/>
        <v/>
      </c>
      <c r="E111" s="234">
        <f t="shared" si="23"/>
        <v>27</v>
      </c>
      <c r="F111" s="208" t="str">
        <f t="shared" si="23"/>
        <v/>
      </c>
      <c r="G111" s="209" t="str">
        <f t="shared" si="23"/>
        <v/>
      </c>
      <c r="H111" s="204" t="str">
        <f t="shared" si="23"/>
        <v/>
      </c>
      <c r="I111" s="191"/>
    </row>
    <row r="112" spans="1:11" ht="12.75" customHeight="1">
      <c r="A112" s="210" t="str">
        <f t="shared" si="20"/>
        <v/>
      </c>
      <c r="B112" s="211" t="str">
        <f t="shared" ref="B112:H112" si="24">IF(B45="","",B45)</f>
        <v>個</v>
      </c>
      <c r="C112" s="235" t="str">
        <f t="shared" si="24"/>
        <v/>
      </c>
      <c r="D112" s="140" t="str">
        <f t="shared" si="24"/>
        <v/>
      </c>
      <c r="E112" s="235">
        <f t="shared" si="24"/>
        <v>28</v>
      </c>
      <c r="F112" s="214" t="str">
        <f t="shared" si="24"/>
        <v/>
      </c>
      <c r="G112" s="215" t="str">
        <f t="shared" si="24"/>
        <v/>
      </c>
      <c r="H112" s="210" t="str">
        <f t="shared" si="24"/>
        <v/>
      </c>
      <c r="I112" s="191"/>
    </row>
    <row r="113" spans="1:9" ht="12.75" customHeight="1">
      <c r="A113" s="225" t="str">
        <f t="shared" si="20"/>
        <v/>
      </c>
      <c r="B113" s="226" t="str">
        <f t="shared" ref="B113:H113" si="25">IF(B46="","",B46)</f>
        <v>個</v>
      </c>
      <c r="C113" s="236" t="str">
        <f t="shared" si="25"/>
        <v/>
      </c>
      <c r="D113" s="141" t="str">
        <f t="shared" si="25"/>
        <v/>
      </c>
      <c r="E113" s="236">
        <f t="shared" si="25"/>
        <v>29</v>
      </c>
      <c r="F113" s="237" t="str">
        <f t="shared" si="25"/>
        <v/>
      </c>
      <c r="G113" s="230" t="str">
        <f t="shared" si="25"/>
        <v/>
      </c>
      <c r="H113" s="225" t="str">
        <f t="shared" si="25"/>
        <v/>
      </c>
      <c r="I113" s="191"/>
    </row>
    <row r="114" spans="1:9" ht="12.75" customHeight="1">
      <c r="A114" s="204" t="str">
        <f t="shared" si="20"/>
        <v/>
      </c>
      <c r="B114" s="205" t="str">
        <f t="shared" ref="B114:H114" si="26">IF(B47="","",B47)</f>
        <v>個</v>
      </c>
      <c r="C114" s="234" t="str">
        <f t="shared" si="26"/>
        <v/>
      </c>
      <c r="D114" s="139" t="str">
        <f t="shared" si="26"/>
        <v/>
      </c>
      <c r="E114" s="234">
        <f t="shared" si="26"/>
        <v>30</v>
      </c>
      <c r="F114" s="208" t="str">
        <f t="shared" si="26"/>
        <v/>
      </c>
      <c r="G114" s="209" t="str">
        <f t="shared" si="26"/>
        <v/>
      </c>
      <c r="H114" s="204" t="str">
        <f t="shared" si="26"/>
        <v/>
      </c>
      <c r="I114" s="191"/>
    </row>
    <row r="115" spans="1:9" ht="12.75" customHeight="1">
      <c r="A115" s="210" t="str">
        <f t="shared" si="20"/>
        <v/>
      </c>
      <c r="B115" s="211" t="str">
        <f t="shared" ref="B115:H115" si="27">IF(B48="","",B48)</f>
        <v>個</v>
      </c>
      <c r="C115" s="235" t="str">
        <f t="shared" si="27"/>
        <v/>
      </c>
      <c r="D115" s="140" t="str">
        <f t="shared" si="27"/>
        <v/>
      </c>
      <c r="E115" s="235">
        <f t="shared" si="27"/>
        <v>31</v>
      </c>
      <c r="F115" s="214" t="str">
        <f t="shared" si="27"/>
        <v/>
      </c>
      <c r="G115" s="215" t="str">
        <f t="shared" si="27"/>
        <v/>
      </c>
      <c r="H115" s="210" t="str">
        <f t="shared" si="27"/>
        <v/>
      </c>
      <c r="I115" s="191"/>
    </row>
    <row r="116" spans="1:9" ht="12.75" customHeight="1">
      <c r="A116" s="225" t="str">
        <f t="shared" si="20"/>
        <v/>
      </c>
      <c r="B116" s="226" t="str">
        <f t="shared" ref="B116:H116" si="28">IF(B49="","",B49)</f>
        <v>個</v>
      </c>
      <c r="C116" s="236" t="str">
        <f t="shared" si="28"/>
        <v/>
      </c>
      <c r="D116" s="141" t="str">
        <f t="shared" si="28"/>
        <v/>
      </c>
      <c r="E116" s="236">
        <f t="shared" si="28"/>
        <v>32</v>
      </c>
      <c r="F116" s="237" t="str">
        <f t="shared" si="28"/>
        <v/>
      </c>
      <c r="G116" s="230" t="str">
        <f t="shared" si="28"/>
        <v/>
      </c>
      <c r="H116" s="225" t="str">
        <f t="shared" si="28"/>
        <v/>
      </c>
      <c r="I116" s="191"/>
    </row>
    <row r="117" spans="1:9" ht="12.75" customHeight="1">
      <c r="A117" s="204" t="str">
        <f t="shared" si="20"/>
        <v/>
      </c>
      <c r="B117" s="205" t="str">
        <f t="shared" ref="B117:H117" si="29">IF(B50="","",B50)</f>
        <v>個</v>
      </c>
      <c r="C117" s="234" t="str">
        <f t="shared" si="29"/>
        <v/>
      </c>
      <c r="D117" s="139" t="str">
        <f t="shared" si="29"/>
        <v/>
      </c>
      <c r="E117" s="234">
        <f t="shared" si="29"/>
        <v>33</v>
      </c>
      <c r="F117" s="208" t="str">
        <f t="shared" si="29"/>
        <v/>
      </c>
      <c r="G117" s="209" t="str">
        <f t="shared" si="29"/>
        <v/>
      </c>
      <c r="H117" s="204" t="str">
        <f t="shared" si="29"/>
        <v/>
      </c>
      <c r="I117" s="191"/>
    </row>
    <row r="118" spans="1:9" ht="12.75" customHeight="1">
      <c r="A118" s="210" t="str">
        <f t="shared" si="20"/>
        <v/>
      </c>
      <c r="B118" s="211" t="str">
        <f t="shared" ref="B118:H118" si="30">IF(B51="","",B51)</f>
        <v>個</v>
      </c>
      <c r="C118" s="235" t="str">
        <f t="shared" si="30"/>
        <v/>
      </c>
      <c r="D118" s="140" t="str">
        <f t="shared" si="30"/>
        <v/>
      </c>
      <c r="E118" s="235">
        <f t="shared" si="30"/>
        <v>34</v>
      </c>
      <c r="F118" s="214" t="str">
        <f t="shared" si="30"/>
        <v/>
      </c>
      <c r="G118" s="215" t="str">
        <f t="shared" si="30"/>
        <v/>
      </c>
      <c r="H118" s="210" t="str">
        <f t="shared" si="30"/>
        <v/>
      </c>
      <c r="I118" s="191"/>
    </row>
    <row r="119" spans="1:9" ht="12.75" customHeight="1">
      <c r="A119" s="225" t="str">
        <f t="shared" si="20"/>
        <v/>
      </c>
      <c r="B119" s="226" t="str">
        <f t="shared" ref="B119:H119" si="31">IF(B52="","",B52)</f>
        <v>個</v>
      </c>
      <c r="C119" s="236" t="str">
        <f t="shared" si="31"/>
        <v/>
      </c>
      <c r="D119" s="141" t="str">
        <f t="shared" si="31"/>
        <v/>
      </c>
      <c r="E119" s="236">
        <f t="shared" si="31"/>
        <v>35</v>
      </c>
      <c r="F119" s="237" t="str">
        <f t="shared" si="31"/>
        <v/>
      </c>
      <c r="G119" s="230" t="str">
        <f t="shared" si="31"/>
        <v/>
      </c>
      <c r="H119" s="225" t="str">
        <f t="shared" si="31"/>
        <v/>
      </c>
      <c r="I119" s="191"/>
    </row>
    <row r="120" spans="1:9" ht="12.75" customHeight="1">
      <c r="A120" s="204" t="str">
        <f t="shared" si="20"/>
        <v/>
      </c>
      <c r="B120" s="205" t="str">
        <f t="shared" ref="B120:H120" si="32">IF(B53="","",B53)</f>
        <v>個</v>
      </c>
      <c r="C120" s="234" t="str">
        <f t="shared" si="32"/>
        <v/>
      </c>
      <c r="D120" s="139" t="str">
        <f t="shared" si="32"/>
        <v/>
      </c>
      <c r="E120" s="234">
        <f t="shared" si="32"/>
        <v>36</v>
      </c>
      <c r="F120" s="208" t="str">
        <f t="shared" si="32"/>
        <v/>
      </c>
      <c r="G120" s="209" t="str">
        <f t="shared" si="32"/>
        <v/>
      </c>
      <c r="H120" s="204" t="str">
        <f t="shared" si="32"/>
        <v/>
      </c>
      <c r="I120" s="191"/>
    </row>
    <row r="121" spans="1:9" ht="12.75" customHeight="1">
      <c r="A121" s="210" t="str">
        <f t="shared" si="20"/>
        <v/>
      </c>
      <c r="B121" s="211" t="str">
        <f t="shared" ref="B121:H121" si="33">IF(B54="","",B54)</f>
        <v>個</v>
      </c>
      <c r="C121" s="235" t="str">
        <f t="shared" si="33"/>
        <v/>
      </c>
      <c r="D121" s="140" t="str">
        <f t="shared" si="33"/>
        <v/>
      </c>
      <c r="E121" s="235">
        <f t="shared" si="33"/>
        <v>37</v>
      </c>
      <c r="F121" s="214" t="str">
        <f t="shared" si="33"/>
        <v/>
      </c>
      <c r="G121" s="215" t="str">
        <f t="shared" si="33"/>
        <v/>
      </c>
      <c r="H121" s="210" t="str">
        <f t="shared" si="33"/>
        <v/>
      </c>
      <c r="I121" s="191"/>
    </row>
    <row r="122" spans="1:9" ht="12.75" customHeight="1">
      <c r="A122" s="225" t="str">
        <f t="shared" si="20"/>
        <v/>
      </c>
      <c r="B122" s="226" t="str">
        <f t="shared" ref="B122:H122" si="34">IF(B55="","",B55)</f>
        <v>個</v>
      </c>
      <c r="C122" s="236" t="str">
        <f t="shared" si="34"/>
        <v/>
      </c>
      <c r="D122" s="141" t="str">
        <f t="shared" si="34"/>
        <v/>
      </c>
      <c r="E122" s="236">
        <f t="shared" si="34"/>
        <v>38</v>
      </c>
      <c r="F122" s="237" t="str">
        <f t="shared" si="34"/>
        <v/>
      </c>
      <c r="G122" s="230" t="str">
        <f t="shared" si="34"/>
        <v/>
      </c>
      <c r="H122" s="225" t="str">
        <f t="shared" si="34"/>
        <v/>
      </c>
      <c r="I122" s="191"/>
    </row>
    <row r="123" spans="1:9" ht="12.75" customHeight="1">
      <c r="A123" s="204" t="str">
        <f t="shared" si="20"/>
        <v/>
      </c>
      <c r="B123" s="205" t="str">
        <f t="shared" ref="B123:H123" si="35">IF(B56="","",B56)</f>
        <v>個</v>
      </c>
      <c r="C123" s="234" t="str">
        <f t="shared" si="35"/>
        <v/>
      </c>
      <c r="D123" s="139" t="str">
        <f t="shared" si="35"/>
        <v/>
      </c>
      <c r="E123" s="234">
        <f t="shared" si="35"/>
        <v>39</v>
      </c>
      <c r="F123" s="208" t="str">
        <f t="shared" si="35"/>
        <v/>
      </c>
      <c r="G123" s="209" t="str">
        <f t="shared" si="35"/>
        <v/>
      </c>
      <c r="H123" s="204" t="str">
        <f t="shared" si="35"/>
        <v/>
      </c>
      <c r="I123" s="191"/>
    </row>
    <row r="124" spans="1:9" ht="12.75" customHeight="1">
      <c r="A124" s="210" t="str">
        <f t="shared" si="20"/>
        <v/>
      </c>
      <c r="B124" s="211" t="str">
        <f t="shared" ref="B124:H124" si="36">IF(B57="","",B57)</f>
        <v>個</v>
      </c>
      <c r="C124" s="235" t="str">
        <f t="shared" si="36"/>
        <v/>
      </c>
      <c r="D124" s="140" t="str">
        <f t="shared" si="36"/>
        <v/>
      </c>
      <c r="E124" s="235">
        <f t="shared" si="36"/>
        <v>40</v>
      </c>
      <c r="F124" s="214" t="str">
        <f t="shared" si="36"/>
        <v/>
      </c>
      <c r="G124" s="215" t="str">
        <f t="shared" si="36"/>
        <v/>
      </c>
      <c r="H124" s="210" t="str">
        <f t="shared" si="36"/>
        <v/>
      </c>
      <c r="I124" s="191"/>
    </row>
    <row r="125" spans="1:9" ht="12.75" customHeight="1">
      <c r="A125" s="225" t="str">
        <f t="shared" ref="A125" si="37">IF(A58="","",A58)</f>
        <v/>
      </c>
      <c r="B125" s="226" t="str">
        <f t="shared" ref="B125:H125" si="38">IF(B58="","",B58)</f>
        <v>個</v>
      </c>
      <c r="C125" s="236" t="str">
        <f t="shared" si="38"/>
        <v/>
      </c>
      <c r="D125" s="141" t="str">
        <f t="shared" si="38"/>
        <v/>
      </c>
      <c r="E125" s="236">
        <f t="shared" si="38"/>
        <v>41</v>
      </c>
      <c r="F125" s="237" t="str">
        <f t="shared" si="38"/>
        <v/>
      </c>
      <c r="G125" s="230" t="str">
        <f t="shared" si="38"/>
        <v/>
      </c>
      <c r="H125" s="225" t="str">
        <f t="shared" si="38"/>
        <v/>
      </c>
      <c r="I125" s="191"/>
    </row>
    <row r="126" spans="1:9" ht="7.5" customHeight="1">
      <c r="A126" s="191"/>
      <c r="B126" s="191"/>
      <c r="C126" s="191"/>
      <c r="D126" s="191"/>
      <c r="E126" s="191"/>
      <c r="F126" s="191"/>
      <c r="G126" s="191"/>
      <c r="H126" s="192"/>
      <c r="I126" s="191"/>
    </row>
    <row r="127" spans="1:9" s="75" customFormat="1" ht="12.75" customHeight="1">
      <c r="A127" s="385" t="s">
        <v>406</v>
      </c>
      <c r="B127" s="385"/>
      <c r="C127" s="385"/>
      <c r="D127" s="385"/>
      <c r="E127" s="386">
        <f>E60</f>
        <v>43573</v>
      </c>
      <c r="F127" s="387"/>
      <c r="G127" s="238"/>
      <c r="H127" s="238"/>
      <c r="I127" s="238"/>
    </row>
    <row r="128" spans="1:9" s="75" customFormat="1" ht="12.75" customHeight="1">
      <c r="A128" s="258"/>
      <c r="B128" s="258"/>
      <c r="C128" s="258"/>
      <c r="D128" s="258"/>
      <c r="E128" s="239"/>
      <c r="F128" s="239"/>
      <c r="G128" s="238"/>
      <c r="H128" s="238"/>
      <c r="I128" s="238"/>
    </row>
    <row r="129" spans="1:9" s="75" customFormat="1" ht="12.75" customHeight="1">
      <c r="A129" s="258"/>
      <c r="B129" s="258"/>
      <c r="C129" s="258"/>
      <c r="D129" s="258"/>
      <c r="E129" s="238"/>
      <c r="F129" s="238"/>
      <c r="G129" s="238"/>
      <c r="H129" s="238"/>
      <c r="I129" s="238"/>
    </row>
    <row r="130" spans="1:9" s="75" customFormat="1" ht="12.75" customHeight="1">
      <c r="A130" s="239" t="s">
        <v>507</v>
      </c>
      <c r="B130" s="383" t="str">
        <f>B63</f>
        <v/>
      </c>
      <c r="C130" s="383"/>
      <c r="D130" s="383"/>
      <c r="E130" s="239" t="s">
        <v>199</v>
      </c>
      <c r="F130" s="249" t="str">
        <f>F63</f>
        <v xml:space="preserve">○　○　○　○　 </v>
      </c>
      <c r="G130" s="257" t="s">
        <v>511</v>
      </c>
      <c r="H130" s="238"/>
      <c r="I130" s="238"/>
    </row>
    <row r="131" spans="1:9" s="75" customFormat="1" ht="12.75" customHeight="1">
      <c r="A131" s="238"/>
      <c r="B131" s="238"/>
      <c r="C131" s="238"/>
      <c r="D131" s="238"/>
      <c r="E131" s="238"/>
      <c r="F131" s="238"/>
      <c r="G131" s="238"/>
      <c r="H131" s="240"/>
      <c r="I131" s="238"/>
    </row>
    <row r="132" spans="1:9" s="75" customFormat="1" ht="12.75" customHeight="1">
      <c r="A132" s="238"/>
      <c r="B132" s="238"/>
      <c r="C132" s="238"/>
      <c r="D132" s="238"/>
      <c r="E132" s="238"/>
      <c r="F132" s="238"/>
      <c r="G132" s="238"/>
      <c r="H132" s="240"/>
      <c r="I132" s="238"/>
    </row>
    <row r="133" spans="1:9" s="75" customFormat="1" ht="12.75" customHeight="1">
      <c r="A133" s="239" t="s">
        <v>510</v>
      </c>
      <c r="B133" s="383" t="str">
        <f>B66</f>
        <v/>
      </c>
      <c r="C133" s="383"/>
      <c r="D133" s="383"/>
      <c r="E133" s="239" t="s">
        <v>509</v>
      </c>
      <c r="F133" s="249" t="str">
        <f>F66</f>
        <v xml:space="preserve">○　○　○　○　 </v>
      </c>
      <c r="G133" s="257" t="s">
        <v>511</v>
      </c>
      <c r="H133" s="240"/>
      <c r="I133" s="238"/>
    </row>
    <row r="134" spans="1:9" s="75" customFormat="1" ht="7.5" customHeight="1">
      <c r="H134" s="74"/>
    </row>
  </sheetData>
  <sheetProtection password="CC71" sheet="1" objects="1" scenarios="1"/>
  <mergeCells count="45">
    <mergeCell ref="L2:L3"/>
    <mergeCell ref="F7:G7"/>
    <mergeCell ref="B8:C8"/>
    <mergeCell ref="D8:E8"/>
    <mergeCell ref="F8:G8"/>
    <mergeCell ref="D7:E7"/>
    <mergeCell ref="C2:G2"/>
    <mergeCell ref="B4:C4"/>
    <mergeCell ref="B6:C6"/>
    <mergeCell ref="D6:G6"/>
    <mergeCell ref="B7:C7"/>
    <mergeCell ref="K2:K3"/>
    <mergeCell ref="D4:F4"/>
    <mergeCell ref="G4:H4"/>
    <mergeCell ref="E60:F60"/>
    <mergeCell ref="B66:D66"/>
    <mergeCell ref="A60:D60"/>
    <mergeCell ref="B63:D63"/>
    <mergeCell ref="B9:C9"/>
    <mergeCell ref="F9:G9"/>
    <mergeCell ref="D9:E9"/>
    <mergeCell ref="B24:G24"/>
    <mergeCell ref="B11:G11"/>
    <mergeCell ref="D74:E74"/>
    <mergeCell ref="F74:G74"/>
    <mergeCell ref="C69:G69"/>
    <mergeCell ref="B71:C71"/>
    <mergeCell ref="D71:F71"/>
    <mergeCell ref="G71:H71"/>
    <mergeCell ref="A2:A4"/>
    <mergeCell ref="B133:D133"/>
    <mergeCell ref="B78:G78"/>
    <mergeCell ref="B91:G91"/>
    <mergeCell ref="A127:D127"/>
    <mergeCell ref="E127:F127"/>
    <mergeCell ref="B130:D130"/>
    <mergeCell ref="B75:C75"/>
    <mergeCell ref="D75:E75"/>
    <mergeCell ref="F75:G75"/>
    <mergeCell ref="B76:C76"/>
    <mergeCell ref="D76:E76"/>
    <mergeCell ref="F76:G76"/>
    <mergeCell ref="B73:C73"/>
    <mergeCell ref="D73:G73"/>
    <mergeCell ref="B74:C74"/>
  </mergeCells>
  <phoneticPr fontId="2"/>
  <dataValidations count="1">
    <dataValidation type="list" allowBlank="1" showInputMessage="1" showErrorMessage="1" errorTitle="個数エラー" error="0～2を入力" sqref="I4">
      <formula1>"0,1,2"</formula1>
    </dataValidation>
  </dataValidations>
  <hyperlinks>
    <hyperlink ref="F76:G76" r:id="rId1" display="gunkyumi@yahoo.co.jp"/>
  </hyperlinks>
  <printOptions horizontalCentered="1"/>
  <pageMargins left="0.39370078740157483" right="0.39370078740157483" top="0.39370078740157483" bottom="0.39370078740157483" header="0" footer="0"/>
  <pageSetup paperSize="9" orientation="portrait" horizontalDpi="4294967293"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L134"/>
  <sheetViews>
    <sheetView zoomScaleNormal="100" zoomScaleSheetLayoutView="98" workbookViewId="0"/>
  </sheetViews>
  <sheetFormatPr defaultColWidth="9" defaultRowHeight="12.75"/>
  <cols>
    <col min="1" max="3" width="8.125" style="143" customWidth="1"/>
    <col min="4" max="4" width="15" style="143" customWidth="1"/>
    <col min="5" max="5" width="8.125" style="143" customWidth="1"/>
    <col min="6" max="6" width="24.25" style="143" customWidth="1"/>
    <col min="7" max="7" width="8.125" style="143" customWidth="1"/>
    <col min="8" max="8" width="8.125" style="142" customWidth="1"/>
    <col min="9" max="9" width="4.25" style="143" customWidth="1"/>
    <col min="10" max="10" width="6.125" style="143" customWidth="1"/>
    <col min="11" max="16384" width="9" style="143"/>
  </cols>
  <sheetData>
    <row r="1" spans="1:12" ht="7.5" customHeight="1"/>
    <row r="2" spans="1:12" ht="22.5" customHeight="1">
      <c r="A2" s="382" t="s">
        <v>518</v>
      </c>
      <c r="B2" s="252">
        <v>2</v>
      </c>
      <c r="C2" s="424" t="str">
        <f>IF(登!B1=19,"平成31年度",日!B1)&amp;"県高等学校弓道春季大会"</f>
        <v>平成31年度県高等学校弓道春季大会</v>
      </c>
      <c r="D2" s="425"/>
      <c r="E2" s="425"/>
      <c r="F2" s="425"/>
      <c r="G2" s="426"/>
      <c r="K2" s="415" t="s">
        <v>252</v>
      </c>
      <c r="L2" s="415" t="s">
        <v>251</v>
      </c>
    </row>
    <row r="3" spans="1:12" ht="12.75" customHeight="1">
      <c r="A3" s="382"/>
      <c r="B3" s="144"/>
      <c r="C3" s="144"/>
      <c r="D3" s="145"/>
      <c r="E3" s="145"/>
      <c r="F3" s="145"/>
      <c r="G3" s="146"/>
      <c r="K3" s="415"/>
      <c r="L3" s="415"/>
    </row>
    <row r="4" spans="1:12" ht="12.75" customHeight="1">
      <c r="A4" s="382"/>
      <c r="B4" s="415" t="s">
        <v>11</v>
      </c>
      <c r="C4" s="415"/>
      <c r="D4" s="428" t="str">
        <f>IF(K5="","",IF(LENB(K5)+LENB(L5)&gt;=14,K5&amp;L5,IF(LENB(L5)=8,IF(LENB(K5)&lt;=6,IF(LENB(K5)=2,K5&amp;"　　",IF(LENB(K5)=4,LEFT(K5,1)&amp;"　"&amp;RIGHT(K5,1),K5)),K5),IF(LENB(K5)&lt;=6,IF(LENB(K5)=2,K5&amp;"　　　",IF(LENB(K5)=4,LEFT(K5,1)&amp;"　"&amp;RIGHT(K5,1)&amp;"　",K5&amp;"　")),K5)))&amp;IF(K5="","",IF(LENB(K5)+LENB(L5)&gt;=14,"",IF(LENB(L5)=2,"　　"&amp;L5,IF(LENB(L5)=4,LEFT(L5,1)&amp;"　"&amp;RIGHT(L5,1),L5)))))</f>
        <v>○　○　○　○</v>
      </c>
      <c r="E4" s="429"/>
      <c r="F4" s="430"/>
      <c r="G4" s="431" t="s">
        <v>205</v>
      </c>
      <c r="H4" s="432"/>
      <c r="I4" s="67">
        <v>0</v>
      </c>
      <c r="J4" s="142"/>
      <c r="K4" s="62" t="s">
        <v>531</v>
      </c>
      <c r="L4" s="62" t="s">
        <v>532</v>
      </c>
    </row>
    <row r="5" spans="1:12" ht="12.75" customHeight="1">
      <c r="B5" s="144"/>
      <c r="C5" s="144"/>
      <c r="D5" s="145"/>
      <c r="E5" s="145"/>
      <c r="F5" s="145"/>
      <c r="G5" s="145"/>
      <c r="K5" s="253" t="str">
        <f>SUBSTITUTE(SUBSTITUTE(K4," ",""),"　","")</f>
        <v>○○</v>
      </c>
      <c r="L5" s="253" t="str">
        <f>SUBSTITUTE(SUBSTITUTE(L4," ",""),"　","")</f>
        <v>○○</v>
      </c>
    </row>
    <row r="6" spans="1:12" ht="12.75" customHeight="1">
      <c r="B6" s="411" t="s">
        <v>39</v>
      </c>
      <c r="C6" s="411"/>
      <c r="D6" s="427">
        <v>2</v>
      </c>
      <c r="E6" s="427"/>
      <c r="F6" s="427"/>
      <c r="G6" s="427"/>
    </row>
    <row r="7" spans="1:12" ht="12.75" customHeight="1">
      <c r="B7" s="411" t="s">
        <v>40</v>
      </c>
      <c r="C7" s="411"/>
      <c r="D7" s="422">
        <f>VLOOKUP(D6,日!$B$2:$F$111,3,0)</f>
        <v>43573</v>
      </c>
      <c r="E7" s="423"/>
      <c r="F7" s="416" t="str">
        <f>TEXT(WEEKDAY(D7,1),"aaaa")&amp;"　１６時"</f>
        <v>木曜日　１６時</v>
      </c>
      <c r="G7" s="417"/>
    </row>
    <row r="8" spans="1:12" ht="12.75" customHeight="1">
      <c r="B8" s="411" t="s">
        <v>38</v>
      </c>
      <c r="C8" s="411"/>
      <c r="D8" s="418">
        <f>VLOOKUP(D6,日!$B$2:$F$111,5,0)</f>
        <v>43582</v>
      </c>
      <c r="E8" s="419"/>
      <c r="F8" s="420" t="str">
        <f>TEXT(WEEKDAY(D8,1),"aaaa")</f>
        <v>土曜日</v>
      </c>
      <c r="G8" s="421"/>
    </row>
    <row r="9" spans="1:12" ht="12.75" customHeight="1">
      <c r="B9" s="411" t="s">
        <v>41</v>
      </c>
      <c r="C9" s="411"/>
      <c r="D9" s="412" t="s">
        <v>45</v>
      </c>
      <c r="E9" s="413"/>
      <c r="F9" s="395" t="s">
        <v>46</v>
      </c>
      <c r="G9" s="396"/>
    </row>
    <row r="10" spans="1:12" ht="12.75" customHeight="1">
      <c r="B10" s="147"/>
      <c r="C10" s="147"/>
      <c r="D10" s="146"/>
      <c r="E10" s="146"/>
      <c r="F10" s="146"/>
      <c r="G10" s="146"/>
    </row>
    <row r="11" spans="1:12" ht="22.5" customHeight="1">
      <c r="B11" s="414" t="str">
        <f>IF(B2=1,"男　子　団　体　参　加　申　込　書","女　子　団　体　参　加　申　込　書")</f>
        <v>女　子　団　体　参　加　申　込　書</v>
      </c>
      <c r="C11" s="414"/>
      <c r="D11" s="414"/>
      <c r="E11" s="414"/>
      <c r="F11" s="414"/>
      <c r="G11" s="414"/>
    </row>
    <row r="12" spans="1:12" ht="12.75" customHeight="1">
      <c r="A12" s="252" t="s">
        <v>32</v>
      </c>
      <c r="B12" s="148" t="s">
        <v>18</v>
      </c>
      <c r="C12" s="149" t="s">
        <v>10</v>
      </c>
      <c r="D12" s="150" t="s">
        <v>33</v>
      </c>
      <c r="E12" s="151" t="s">
        <v>12</v>
      </c>
      <c r="F12" s="152" t="s">
        <v>13</v>
      </c>
      <c r="G12" s="153" t="s">
        <v>14</v>
      </c>
      <c r="H12" s="252" t="s">
        <v>47</v>
      </c>
    </row>
    <row r="13" spans="1:12" ht="12.75" customHeight="1">
      <c r="A13" s="154" t="str">
        <f>IF(D13="","",IF($B$2=1,IF(COUNT($D$13:$D$16)=1,VLOOKUP(登!$D$1,立男!$A$4:$I$100,4,0)+100,VLOOKUP(登!$D$1,立男!$A$4:$I$100,4,0)),IF(COUNT($D$13:$D$16)=1,VLOOKUP(登!$D$1,立女!$A$4:$I$100,4,0)+100,VLOOKUP(登!$D$1,立女!$A$4:$I$100,4,0))))</f>
        <v/>
      </c>
      <c r="B13" s="155" t="s">
        <v>16</v>
      </c>
      <c r="C13" s="156" t="str">
        <f>IF(D13="","",登!$F$1)</f>
        <v/>
      </c>
      <c r="D13" s="63"/>
      <c r="E13" s="157">
        <v>1</v>
      </c>
      <c r="F13" s="158" t="str">
        <f>IF(D13="","",IF(INT(VALUE(RIGHT(D13,3))/100)=$B$2,VLOOKUP(D13,登!$B$4:$I$103,7,0),"部員番号入力ミス"))</f>
        <v/>
      </c>
      <c r="G13" s="159" t="str">
        <f>IF(D13="","",IF(INT(VALUE(RIGHT(D13,3))/100)=$B$2,IF(VLOOKUP(D13,登!$B$4:$I$103,2,0)=登!$B$1,1,IF(VLOOKUP(D13,登!$B$4:$I$103,2,0)=登!$B$1-1,2,IF(VLOOKUP(D13,登!$B$4:$I$103,2,0)=登!$B$1-2,3,"学年ミス"))),"番号ミス"))</f>
        <v/>
      </c>
      <c r="H13" s="154" t="str">
        <f t="shared" ref="H13:H20" si="0">IF(D13="","",IF(COUNTIF($D$13:$D$20,D13)+COUNTIF($D$26:$D$58,D13)&gt;1,"選手重複!!","OK"))</f>
        <v/>
      </c>
    </row>
    <row r="14" spans="1:12" ht="12.75" customHeight="1">
      <c r="A14" s="160" t="str">
        <f>IF(D13="","",IF($B$2=1,IF(COUNT($D$13:$D$16)=1,VLOOKUP(登!$D$1,立男!$A$4:$I$100,4,0)+100,VLOOKUP(登!$D$1,立男!$A$4:$I$100,4,0)),IF(COUNT($D$13:$D$16)=1,VLOOKUP(登!$D$1,立女!$A$4:$I$100,4,0)+100,VLOOKUP(登!$D$1,立女!$A$4:$I$100,4,0))))</f>
        <v/>
      </c>
      <c r="B14" s="161" t="s">
        <v>16</v>
      </c>
      <c r="C14" s="162" t="str">
        <f>IF(D14="","",登!$F$1)</f>
        <v/>
      </c>
      <c r="D14" s="64"/>
      <c r="E14" s="163">
        <v>2</v>
      </c>
      <c r="F14" s="164" t="str">
        <f>IF(D14="","",IF(COUNTIF($D$13:D14,"")&gt;0,"大前から詰めて入力",IF(INT(VALUE(RIGHT(D14,3))/100)=$B$2,VLOOKUP(D14,登!$B$4:$I$103,7,0),"部員番号入力ミス")))</f>
        <v/>
      </c>
      <c r="G14" s="165" t="str">
        <f>IF(D14="","",IF(INT(VALUE(RIGHT(D14,3))/100)=$B$2,IF(VLOOKUP(D14,登!$B$4:$I$103,2,0)=登!$B$1,1,IF(VLOOKUP(D14,登!$B$4:$I$103,2,0)=登!$B$1-1,2,IF(VLOOKUP(D14,登!$B$4:$I$103,2,0)=登!$B$1-2,3,"学年ミス"))),"番号ミス"))</f>
        <v/>
      </c>
      <c r="H14" s="160" t="str">
        <f t="shared" si="0"/>
        <v/>
      </c>
    </row>
    <row r="15" spans="1:12" ht="12.75" customHeight="1">
      <c r="A15" s="160" t="str">
        <f>IF(D13="","",IF($B$2=1,IF(COUNT($D$13:$D$16)=1,VLOOKUP(登!$D$1,立男!$A$4:$I$100,4,0)+100,VLOOKUP(登!$D$1,立男!$A$4:$I$100,4,0)),IF(COUNT($D$13:$D$16)=1,VLOOKUP(登!$D$1,立女!$A$4:$I$100,4,0)+100,VLOOKUP(登!$D$1,立女!$A$4:$I$100,4,0))))</f>
        <v/>
      </c>
      <c r="B15" s="161" t="s">
        <v>16</v>
      </c>
      <c r="C15" s="162" t="str">
        <f>IF(D15="","",登!$F$1)</f>
        <v/>
      </c>
      <c r="D15" s="64"/>
      <c r="E15" s="163">
        <v>3</v>
      </c>
      <c r="F15" s="164" t="str">
        <f>IF(D15="","",IF(COUNTIF($D$13:D15,"")&gt;0,"大前から詰めて入力",IF(INT(VALUE(RIGHT(D15,3))/100)=$B$2,VLOOKUP(D15,登!$B$4:$I$103,7,0),"部員番号入力ミス")))</f>
        <v/>
      </c>
      <c r="G15" s="165" t="str">
        <f>IF(D15="","",IF(INT(VALUE(RIGHT(D15,3))/100)=$B$2,IF(VLOOKUP(D15,登!$B$4:$I$103,2,0)=登!$B$1,1,IF(VLOOKUP(D15,登!$B$4:$I$103,2,0)=登!$B$1-1,2,IF(VLOOKUP(D15,登!$B$4:$I$103,2,0)=登!$B$1-2,3,"学年ミス"))),"番号ミス"))</f>
        <v/>
      </c>
      <c r="H15" s="160" t="str">
        <f t="shared" si="0"/>
        <v/>
      </c>
    </row>
    <row r="16" spans="1:12" ht="12.75" customHeight="1">
      <c r="A16" s="166" t="str">
        <f>IF(D13="","",IF($B$2=1,IF(COUNT($D$13:$D$16)=1,VLOOKUP(登!$D$1,立男!$A$4:$I$100,4,0)+100,VLOOKUP(登!$D$1,立男!$A$4:$I$100,4,0)),IF(COUNT($D$13:$D$16)=1,VLOOKUP(登!$D$1,立女!$A$4:$I$100,4,0)+100,VLOOKUP(登!$D$1,立女!$A$4:$I$100,4,0))))</f>
        <v/>
      </c>
      <c r="B16" s="167" t="s">
        <v>16</v>
      </c>
      <c r="C16" s="168" t="str">
        <f>IF(D16="","",登!$F$1)</f>
        <v/>
      </c>
      <c r="D16" s="65"/>
      <c r="E16" s="169">
        <v>4</v>
      </c>
      <c r="F16" s="170" t="str">
        <f>IF(D16="","",IF(COUNTIF($D$13:D16,"")&gt;0,"大前から詰めて入力",IF(INT(VALUE(RIGHT(D16,3))/100)=$B$2,VLOOKUP(D16,登!$B$4:$I$103,7,0),"部員番号入力ミス")))</f>
        <v/>
      </c>
      <c r="G16" s="171" t="str">
        <f>IF(D16="","",IF(INT(VALUE(RIGHT(D16,3))/100)=$B$2,IF(VLOOKUP(D16,登!$B$4:$I$103,2,0)=登!$B$1,1,IF(VLOOKUP(D16,登!$B$4:$I$103,2,0)=登!$B$1-1,2,IF(VLOOKUP(D16,登!$B$4:$I$103,2,0)=登!$B$1-2,3,"学年ミス"))),"番号ミス"))</f>
        <v/>
      </c>
      <c r="H16" s="166" t="str">
        <f t="shared" si="0"/>
        <v/>
      </c>
    </row>
    <row r="17" spans="1:8" ht="12.75" customHeight="1">
      <c r="A17" s="154" t="str">
        <f>IF(D17="","",IF($B$2=1,IF(COUNT($D$17:$D$20)=1,VLOOKUP(登!$D$1,立男!$A$4:$I$100,4,0)+200,VLOOKUP(登!$D$1,立男!$A$4:$I$100,4,0)+300),IF(COUNT($D$17:$D$20)=1,VLOOKUP(登!$D$1,立女!$A$4:$I$100,4,0)+200,VLOOKUP(登!$D$1,立女!$A$4:$I$100,4,0)+300)))</f>
        <v/>
      </c>
      <c r="B17" s="155" t="s">
        <v>17</v>
      </c>
      <c r="C17" s="156" t="str">
        <f>IF(D17="","",登!$F$1)</f>
        <v/>
      </c>
      <c r="D17" s="63"/>
      <c r="E17" s="157">
        <v>5</v>
      </c>
      <c r="F17" s="158" t="str">
        <f>IF(D17="","",IF(COUNTIF($D$13:$D$16,"")=4,"Ａチームから入力",IF(INT(VALUE(RIGHT(D17,3))/100)=$B$2,VLOOKUP(D17,登!$B$4:$I$103,7,0),"部員番号入力ミス")))</f>
        <v/>
      </c>
      <c r="G17" s="159" t="str">
        <f>IF(D17="","",IF(INT(VALUE(RIGHT(D17,3))/100)=$B$2,IF(VLOOKUP(D17,登!$B$4:$I$103,2,0)=登!$B$1,1,IF(VLOOKUP(D17,登!$B$4:$I$103,2,0)=登!$B$1-1,2,IF(VLOOKUP(D17,登!$B$4:$I$103,2,0)=登!$B$1-2,3,"学年ミス"))),"番号ミス"))</f>
        <v/>
      </c>
      <c r="H17" s="154" t="str">
        <f t="shared" si="0"/>
        <v/>
      </c>
    </row>
    <row r="18" spans="1:8" ht="12.75" customHeight="1">
      <c r="A18" s="160" t="str">
        <f>IF(D17="","",IF($B$2=1,IF(COUNT($D$17:$D$20)=1,VLOOKUP(登!$D$1,立男!$A$4:$I$100,4,0)+200,VLOOKUP(登!$D$1,立男!$A$4:$I$100,4,0)+300),IF(COUNT($D$17:$D$20)=1,VLOOKUP(登!$D$1,立女!$A$4:$I$100,4,0)+200,VLOOKUP(登!$D$1,立女!$A$4:$I$100,4,0)+300)))</f>
        <v/>
      </c>
      <c r="B18" s="161" t="s">
        <v>17</v>
      </c>
      <c r="C18" s="162" t="str">
        <f>IF(D18="","",登!$F$1)</f>
        <v/>
      </c>
      <c r="D18" s="64"/>
      <c r="E18" s="163">
        <v>6</v>
      </c>
      <c r="F18" s="164" t="str">
        <f>IF(D18="","",IF(COUNTIF($D$13:$D$16,"")=4,"Ａチームから入力",IF(COUNTIF($D$17:D18,"")&gt;0,"大前から詰めて入力",IF(INT(VALUE(RIGHT(D18,3))/100)=$B$2,VLOOKUP(D18,登!$B$4:$I$103,7,0),"部員番号入力ミス"))))</f>
        <v/>
      </c>
      <c r="G18" s="165" t="str">
        <f>IF(D18="","",IF(INT(VALUE(RIGHT(D18,3))/100)=$B$2,IF(VLOOKUP(D18,登!$B$4:$I$103,2,0)=登!$B$1,1,IF(VLOOKUP(D18,登!$B$4:$I$103,2,0)=登!$B$1-1,2,IF(VLOOKUP(D18,登!$B$4:$I$103,2,0)=登!$B$1-2,3,"学年ミス"))),"番号ミス"))</f>
        <v/>
      </c>
      <c r="H18" s="160" t="str">
        <f t="shared" si="0"/>
        <v/>
      </c>
    </row>
    <row r="19" spans="1:8" ht="12.75" customHeight="1">
      <c r="A19" s="160" t="str">
        <f>IF(D17="","",IF($B$2=1,IF(COUNT($D$17:$D$20)=1,VLOOKUP(登!$D$1,立男!$A$4:$I$100,4,0)+200,VLOOKUP(登!$D$1,立男!$A$4:$I$100,4,0)+300),IF(COUNT($D$17:$D$20)=1,VLOOKUP(登!$D$1,立女!$A$4:$I$100,4,0)+200,VLOOKUP(登!$D$1,立女!$A$4:$I$100,4,0)+300)))</f>
        <v/>
      </c>
      <c r="B19" s="161" t="s">
        <v>17</v>
      </c>
      <c r="C19" s="162" t="str">
        <f>IF(D19="","",登!$F$1)</f>
        <v/>
      </c>
      <c r="D19" s="64"/>
      <c r="E19" s="163">
        <v>7</v>
      </c>
      <c r="F19" s="164" t="str">
        <f>IF(D19="","",IF(COUNTIF($D$13:$D$16,"")=4,"Ａチームから入力",IF(COUNTIF($D$17:D19,"")&gt;0,"大前から詰めて入力",IF(INT(VALUE(RIGHT(D19,3))/100)=$B$2,VLOOKUP(D19,登!$B$4:$I$103,7,0),"部員番号入力ミス"))))</f>
        <v/>
      </c>
      <c r="G19" s="165" t="str">
        <f>IF(D19="","",IF(INT(VALUE(RIGHT(D19,3))/100)=$B$2,IF(VLOOKUP(D19,登!$B$4:$I$103,2,0)=登!$B$1,1,IF(VLOOKUP(D19,登!$B$4:$I$103,2,0)=登!$B$1-1,2,IF(VLOOKUP(D19,登!$B$4:$I$103,2,0)=登!$B$1-2,3,"学年ミス"))),"番号ミス"))</f>
        <v/>
      </c>
      <c r="H19" s="160" t="str">
        <f t="shared" si="0"/>
        <v/>
      </c>
    </row>
    <row r="20" spans="1:8" ht="12.75" customHeight="1">
      <c r="A20" s="166" t="str">
        <f>IF(D17="","",IF($B$2=1,IF(COUNT($D$17:$D$20)=1,VLOOKUP(登!$D$1,立男!$A$4:$I$100,4,0)+200,VLOOKUP(登!$D$1,立男!$A$4:$I$100,4,0)+300),IF(COUNT($D$17:$D$20)=1,VLOOKUP(登!$D$1,立女!$A$4:$I$100,4,0)+200,VLOOKUP(登!$D$1,立女!$A$4:$I$100,4,0)+300)))</f>
        <v/>
      </c>
      <c r="B20" s="167" t="s">
        <v>17</v>
      </c>
      <c r="C20" s="168" t="str">
        <f>IF(D20="","",登!$F$1)</f>
        <v/>
      </c>
      <c r="D20" s="65"/>
      <c r="E20" s="169">
        <v>8</v>
      </c>
      <c r="F20" s="170" t="str">
        <f>IF(D20="","",IF(COUNTIF($D$13:$D$16,"")=4,"Ａチームから入力",IF(COUNTIF($D$17:D20,"")&gt;0,"大前から詰めて入力",IF(INT(VALUE(RIGHT(D20,3))/100)=$B$2,VLOOKUP(D20,登!$B$4:$I$103,7,0),"部員番号入力ミス"))))</f>
        <v/>
      </c>
      <c r="G20" s="171" t="str">
        <f>IF(D20="","",IF(INT(VALUE(RIGHT(D20,3))/100)=$B$2,IF(VLOOKUP(D20,登!$B$4:$I$103,2,0)=登!$B$1,1,IF(VLOOKUP(D20,登!$B$4:$I$103,2,0)=登!$B$1-1,2,IF(VLOOKUP(D20,登!$B$4:$I$103,2,0)=登!$B$1-2,3,"学年ミス"))),"番号ミス"))</f>
        <v/>
      </c>
      <c r="H20" s="166" t="str">
        <f t="shared" si="0"/>
        <v/>
      </c>
    </row>
    <row r="21" spans="1:8" ht="12.75" customHeight="1">
      <c r="A21" s="154" t="str">
        <f>IF(COUNT($D$21:$D$22)=0,"",IF($B$2=1,VLOOKUP(登!$D$1,立男!$A$4:$I$100,4,0)+500,VLOOKUP(登!$D$1,立女!$A$4:$I$100,4,0)+500))</f>
        <v/>
      </c>
      <c r="B21" s="155" t="s">
        <v>16</v>
      </c>
      <c r="C21" s="156" t="str">
        <f>IF(D21="","",登!$F$1)</f>
        <v/>
      </c>
      <c r="D21" s="172" t="str">
        <f>IF(D16="","",D16)</f>
        <v/>
      </c>
      <c r="E21" s="157">
        <v>4</v>
      </c>
      <c r="F21" s="173" t="str">
        <f>IF(F16="","",F16)</f>
        <v/>
      </c>
      <c r="G21" s="159" t="str">
        <f>IF(D21="","",IF(INT(VALUE(RIGHT(D21,3))/100)=$B$2,IF(VLOOKUP(D21,登!$B$4:$I$103,2,0)=登!$B$1,1,IF(VLOOKUP(D21,登!$B$4:$I$103,2,0)=登!$B$1-1,2,IF(VLOOKUP(D21,登!$B$4:$I$103,2,0)=登!$B$1-2,3,"学年ミス"))),"番号ミス"))</f>
        <v/>
      </c>
      <c r="H21" s="174" t="s">
        <v>519</v>
      </c>
    </row>
    <row r="22" spans="1:8" ht="12.75" customHeight="1">
      <c r="A22" s="175" t="str">
        <f>IF(COUNT($D$21:$D$22)=0,"",IF($B$2=1,VLOOKUP(登!$D$1,立男!$A$4:$I$100,4,0)+500,VLOOKUP(登!$D$1,立女!$A$4:$I$100,4,0)+500))</f>
        <v/>
      </c>
      <c r="B22" s="176" t="s">
        <v>17</v>
      </c>
      <c r="C22" s="177" t="str">
        <f>IF(D22="","",登!$F$1)</f>
        <v/>
      </c>
      <c r="D22" s="178" t="str">
        <f>IF(D20="","",D20)</f>
        <v/>
      </c>
      <c r="E22" s="179">
        <v>8</v>
      </c>
      <c r="F22" s="180" t="str">
        <f>IF(F20="","",F20)</f>
        <v/>
      </c>
      <c r="G22" s="181" t="str">
        <f>IF(D22="","",IF(INT(VALUE(RIGHT(D22,3))/100)=$B$2,IF(VLOOKUP(D22,登!$B$4:$I$103,2,0)=登!$B$1,1,IF(VLOOKUP(D22,登!$B$4:$I$103,2,0)=登!$B$1-1,2,IF(VLOOKUP(D22,登!$B$4:$I$103,2,0)=登!$B$1-2,3,"学年ミス"))),"番号ミス"))</f>
        <v/>
      </c>
      <c r="H22" s="182" t="s">
        <v>519</v>
      </c>
    </row>
    <row r="23" spans="1:8" ht="12.75" customHeight="1">
      <c r="B23" s="183" t="s">
        <v>15</v>
      </c>
      <c r="C23" s="184"/>
      <c r="D23" s="184"/>
      <c r="E23" s="184"/>
      <c r="F23" s="184"/>
      <c r="G23" s="184"/>
    </row>
    <row r="24" spans="1:8" ht="22.5" customHeight="1">
      <c r="B24" s="414" t="str">
        <f>IF(B2=1,"男　子　個　人　参　加　申　込　書","女　子　個　人　参　加　申　込　書")</f>
        <v>女　子　個　人　参　加　申　込　書</v>
      </c>
      <c r="C24" s="414"/>
      <c r="D24" s="414"/>
      <c r="E24" s="414"/>
      <c r="F24" s="414"/>
      <c r="G24" s="414"/>
    </row>
    <row r="25" spans="1:8" ht="12.75" customHeight="1">
      <c r="A25" s="252" t="s">
        <v>32</v>
      </c>
      <c r="B25" s="148" t="s">
        <v>18</v>
      </c>
      <c r="C25" s="152" t="s">
        <v>10</v>
      </c>
      <c r="D25" s="150" t="s">
        <v>33</v>
      </c>
      <c r="E25" s="152" t="s">
        <v>12</v>
      </c>
      <c r="F25" s="152" t="s">
        <v>13</v>
      </c>
      <c r="G25" s="153" t="s">
        <v>14</v>
      </c>
      <c r="H25" s="252" t="s">
        <v>47</v>
      </c>
    </row>
    <row r="26" spans="1:8" ht="12.75" customHeight="1">
      <c r="A26" s="154" t="str">
        <f>IF($D$26="","",IF($B$2=1,IF(COUNT($D$26:$D$28)=3,VLOOKUP(登!$D$1,立男!$A$4:$I$100,4,0)+600,VLOOKUP(登!$D$1,立男!$A$4:$I$100,4,0)+700),IF(COUNT($D$26:$D$28)=3,VLOOKUP(登!$D$1,立女!$A$4:$I$100,4,0)+600,VLOOKUP(登!$D$1,立女!$A$4:$I$100,4,0)+700)))</f>
        <v/>
      </c>
      <c r="B26" s="155" t="s">
        <v>21</v>
      </c>
      <c r="C26" s="185" t="str">
        <f>IF(D26="","",登!$F$1)</f>
        <v/>
      </c>
      <c r="D26" s="63"/>
      <c r="E26" s="185">
        <v>9</v>
      </c>
      <c r="F26" s="158" t="str">
        <f>IF(D26="","",IF(OR(COUNTIF($D$13:$D$16,"")&gt;0,COUNTIF($D$17:$D$20,"")&gt;0),"団体から入力",IF(INT(VALUE(RIGHT(D26,3))/100)=$B$2,VLOOKUP(D26,登!$B$4:$I$103,7,0),"部員番号入力ミス")))</f>
        <v/>
      </c>
      <c r="G26" s="159" t="str">
        <f>IF(D26="","",IF(INT(VALUE(RIGHT(D26,3))/100)=$B$2,IF(VLOOKUP(D26,登!$B$4:$I$103,2,0)=登!$B$1,1,IF(VLOOKUP(D26,登!$B$4:$I$103,2,0)=登!$B$1-1,2,IF(VLOOKUP(D26,登!$B$4:$I$103,2,0)=登!$B$1-2,3,"学年ミス"))),"番号ミス"))</f>
        <v/>
      </c>
      <c r="H26" s="154" t="str">
        <f t="shared" ref="H26:H58" si="1">IF(D26="","",IF(COUNTIF($D$13:$D$20,D26)+COUNTIF($D$26:$D$58,D26)&gt;1,"選手重複!!","OK"))</f>
        <v/>
      </c>
    </row>
    <row r="27" spans="1:8" ht="12.75" customHeight="1">
      <c r="A27" s="160" t="str">
        <f>IF($D$26="","",IF($B$2=1,IF(COUNT($D$26:$D$28)=3,VLOOKUP(登!$D$1,立男!$A$4:$I$100,4,0)+600,VLOOKUP(登!$D$1,立男!$A$4:$I$100,4,0)+700),IF(COUNT($D$26:$D$28)=3,VLOOKUP(登!$D$1,立女!$A$4:$I$100,4,0)+600,VLOOKUP(登!$D$1,立女!$A$4:$I$100,4,0)+700)))</f>
        <v/>
      </c>
      <c r="B27" s="161" t="s">
        <v>21</v>
      </c>
      <c r="C27" s="186" t="str">
        <f>IF(D27="","",登!$F$1)</f>
        <v/>
      </c>
      <c r="D27" s="64"/>
      <c r="E27" s="186">
        <v>10</v>
      </c>
      <c r="F27" s="164" t="str">
        <f>IF(D27="","",IF(OR(COUNTIF($D$13:$D$16,"")&gt;0,COUNTIF($D$17:$D$20,"")&gt;0),"団体から入力",IF(COUNTIF($D$26:D27,"")&gt;0,"立順9から詰めて入力",IF(INT(VALUE(RIGHT(D27,3))/100)=$B$2,VLOOKUP(D27,登!$B$4:$I$103,7,0),"部員番号入力ミス"))))</f>
        <v/>
      </c>
      <c r="G27" s="165" t="str">
        <f>IF(D27="","",IF(INT(VALUE(RIGHT(D27,3))/100)=$B$2,IF(VLOOKUP(D27,登!$B$4:$I$103,2,0)=登!$B$1,1,IF(VLOOKUP(D27,登!$B$4:$I$103,2,0)=登!$B$1-1,2,IF(VLOOKUP(D27,登!$B$4:$I$103,2,0)=登!$B$1-2,3,"学年ミス"))),"番号ミス"))</f>
        <v/>
      </c>
      <c r="H27" s="160" t="str">
        <f t="shared" si="1"/>
        <v/>
      </c>
    </row>
    <row r="28" spans="1:8" ht="12.75" customHeight="1">
      <c r="A28" s="175" t="str">
        <f>IF($D$26="","",IF($B$2=1,IF(COUNT($D$26:$D$28)=3,VLOOKUP(登!$D$1,立男!$A$4:$I$100,4,0)+600,VLOOKUP(登!$D$1,立男!$A$4:$I$100,4,0)+700),IF(COUNT($D$26:$D$28)=3,VLOOKUP(登!$D$1,立女!$A$4:$I$100,4,0)+600,VLOOKUP(登!$D$1,立女!$A$4:$I$100,4,0)+700)))</f>
        <v/>
      </c>
      <c r="B28" s="176" t="s">
        <v>21</v>
      </c>
      <c r="C28" s="187" t="str">
        <f>IF(D28="","",登!$F$1)</f>
        <v/>
      </c>
      <c r="D28" s="66"/>
      <c r="E28" s="187">
        <v>11</v>
      </c>
      <c r="F28" s="188" t="str">
        <f>IF(D28="","",IF(OR(COUNTIF($D$13:$D$16,"")&gt;0,COUNTIF($D$17:$D$20,"")&gt;0),"団体から入力",IF(COUNTIF($D$26:D28,"")&gt;0,"立順9から詰めて入力",IF(INT(VALUE(RIGHT(D28,3))/100)=$B$2,VLOOKUP(D28,登!$B$4:$I$103,7,0),"部員番号入力ミス"))))</f>
        <v/>
      </c>
      <c r="G28" s="181" t="str">
        <f>IF(D28="","",IF(INT(VALUE(RIGHT(D28,3))/100)=$B$2,IF(VLOOKUP(D28,登!$B$4:$I$103,2,0)=登!$B$1,1,IF(VLOOKUP(D28,登!$B$4:$I$103,2,0)=登!$B$1-1,2,IF(VLOOKUP(D28,登!$B$4:$I$103,2,0)=登!$B$1-2,3,"学年ミス"))),"番号ミス"))</f>
        <v/>
      </c>
      <c r="H28" s="175" t="str">
        <f t="shared" si="1"/>
        <v/>
      </c>
    </row>
    <row r="29" spans="1:8" ht="12.75" customHeight="1">
      <c r="A29" s="154" t="str">
        <f>IF($D$29="","",IF($B$2=1,IF(COUNT($D$29:$D$31)=3,VLOOKUP(登!$D$1,立男!$A$4:$I$100,4,0)+800,VLOOKUP(登!$D$1,立男!$A$4:$I$100,4,0)+900),IF(COUNT($D$29:$D$31)=3,VLOOKUP(登!$D$1,立女!$A$4:$I$100,4,0)+800,VLOOKUP(登!$D$1,立女!$A$4:$I$100,4,0)+900)))</f>
        <v/>
      </c>
      <c r="B29" s="155" t="s">
        <v>21</v>
      </c>
      <c r="C29" s="185" t="str">
        <f>IF(D29="","",登!$F$1)</f>
        <v/>
      </c>
      <c r="D29" s="63"/>
      <c r="E29" s="185">
        <v>12</v>
      </c>
      <c r="F29" s="158" t="str">
        <f>IF(D29="","",IF(OR(COUNTIF($D$13:$D$16,"")&gt;0,COUNTIF($D$17:$D$20,"")&gt;0),"団体から入力",IF(COUNTIF($D$26:D29,"")&gt;0,"立順9から詰めて入力",IF(INT(VALUE(RIGHT(D29,3))/100)=$B$2,VLOOKUP(D29,登!$B$4:$I$103,7,0),"部員番号入力ミス"))))</f>
        <v/>
      </c>
      <c r="G29" s="159" t="str">
        <f>IF(D29="","",IF(INT(VALUE(RIGHT(D29,3))/100)=$B$2,IF(VLOOKUP(D29,登!$B$4:$I$103,2,0)=登!$B$1,1,IF(VLOOKUP(D29,登!$B$4:$I$103,2,0)=登!$B$1-1,2,IF(VLOOKUP(D29,登!$B$4:$I$103,2,0)=登!$B$1-2,3,"学年ミス"))),"番号ミス"))</f>
        <v/>
      </c>
      <c r="H29" s="154" t="str">
        <f t="shared" si="1"/>
        <v/>
      </c>
    </row>
    <row r="30" spans="1:8" ht="12.75" customHeight="1">
      <c r="A30" s="160" t="str">
        <f>IF($D$29="","",IF($B$2=1,IF(COUNT($D$29:$D$31)=3,VLOOKUP(登!$D$1,立男!$A$4:$I$100,4,0)+800,VLOOKUP(登!$D$1,立男!$A$4:$I$100,4,0)+900),IF(COUNT($D$29:$D$31)=3,VLOOKUP(登!$D$1,立女!$A$4:$I$100,4,0)+800,VLOOKUP(登!$D$1,立女!$A$4:$I$100,4,0)+900)))</f>
        <v/>
      </c>
      <c r="B30" s="161" t="s">
        <v>21</v>
      </c>
      <c r="C30" s="186" t="str">
        <f>IF(D30="","",登!$F$1)</f>
        <v/>
      </c>
      <c r="D30" s="64"/>
      <c r="E30" s="186">
        <v>13</v>
      </c>
      <c r="F30" s="164" t="str">
        <f>IF(D30="","",IF(OR(COUNTIF($D$13:$D$16,"")&gt;0,COUNTIF($D$17:$D$20,"")&gt;0),"団体から入力",IF(COUNTIF($D$26:D30,"")&gt;0,"立順9から詰めて入力",IF(INT(VALUE(RIGHT(D30,3))/100)=$B$2,VLOOKUP(D30,登!$B$4:$I$103,7,0),"部員番号入力ミス"))))</f>
        <v/>
      </c>
      <c r="G30" s="165" t="str">
        <f>IF(D30="","",IF(INT(VALUE(RIGHT(D30,3))/100)=$B$2,IF(VLOOKUP(D30,登!$B$4:$I$103,2,0)=登!$B$1,1,IF(VLOOKUP(D30,登!$B$4:$I$103,2,0)=登!$B$1-1,2,IF(VLOOKUP(D30,登!$B$4:$I$103,2,0)=登!$B$1-2,3,"学年ミス"))),"番号ミス"))</f>
        <v/>
      </c>
      <c r="H30" s="160" t="str">
        <f t="shared" si="1"/>
        <v/>
      </c>
    </row>
    <row r="31" spans="1:8" ht="12.75" customHeight="1">
      <c r="A31" s="175" t="str">
        <f>IF($D$29="","",IF($B$2=1,IF(COUNT($D$29:$D$31)=3,VLOOKUP(登!$D$1,立男!$A$4:$I$100,4,0)+800,VLOOKUP(登!$D$1,立男!$A$4:$I$100,4,0)+900),IF(COUNT($D$29:$D$31)=3,VLOOKUP(登!$D$1,立女!$A$4:$I$100,4,0)+800,VLOOKUP(登!$D$1,立女!$A$4:$I$100,4,0)+900)))</f>
        <v/>
      </c>
      <c r="B31" s="176" t="s">
        <v>21</v>
      </c>
      <c r="C31" s="187" t="str">
        <f>IF(D31="","",登!$F$1)</f>
        <v/>
      </c>
      <c r="D31" s="66"/>
      <c r="E31" s="187">
        <v>14</v>
      </c>
      <c r="F31" s="188" t="str">
        <f>IF(D31="","",IF(OR(COUNTIF($D$13:$D$16,"")&gt;0,COUNTIF($D$17:$D$20,"")&gt;0),"団体から入力",IF(COUNTIF($D$26:D31,"")&gt;0,"立順9から詰めて入力",IF(INT(VALUE(RIGHT(D31,3))/100)=$B$2,VLOOKUP(D31,登!$B$4:$I$103,7,0),"部員番号入力ミス"))))</f>
        <v/>
      </c>
      <c r="G31" s="181" t="str">
        <f>IF(D31="","",IF(INT(VALUE(RIGHT(D31,3))/100)=$B$2,IF(VLOOKUP(D31,登!$B$4:$I$103,2,0)=登!$B$1,1,IF(VLOOKUP(D31,登!$B$4:$I$103,2,0)=登!$B$1-1,2,IF(VLOOKUP(D31,登!$B$4:$I$103,2,0)=登!$B$1-2,3,"学年ミス"))),"番号ミス"))</f>
        <v/>
      </c>
      <c r="H31" s="175" t="str">
        <f t="shared" si="1"/>
        <v/>
      </c>
    </row>
    <row r="32" spans="1:8" ht="12.75" customHeight="1">
      <c r="A32" s="154" t="str">
        <f>IF($D$32="","",IF($B$2=1,IF(COUNT($D$32:$D$34)=3,VLOOKUP(登!$D$1,立男!$A$4:$I$100,4,0)+1000,VLOOKUP(登!$D$1,立男!$A$4:$I$100,4,0)+1100),IF(COUNT($D$32:$D$34)=3,VLOOKUP(登!$D$1,立女!$A$4:$I$100,4,0)+1000,VLOOKUP(登!$D$1,立女!$A$4:$I$100,4,0)+1100)))</f>
        <v/>
      </c>
      <c r="B32" s="155" t="s">
        <v>21</v>
      </c>
      <c r="C32" s="185" t="str">
        <f>IF(D32="","",登!$F$1)</f>
        <v/>
      </c>
      <c r="D32" s="63"/>
      <c r="E32" s="185">
        <v>15</v>
      </c>
      <c r="F32" s="158" t="str">
        <f>IF(D32="","",IF(OR(COUNTIF($D$13:$D$16,"")&gt;0,COUNTIF($D$17:$D$20,"")&gt;0),"団体から入力",IF(COUNTIF($D$26:D32,"")&gt;0,"立順9から詰めて入力",IF(INT(VALUE(RIGHT(D32,3))/100)=$B$2,VLOOKUP(D32,登!$B$4:$I$103,7,0),"部員番号入力ミス"))))</f>
        <v/>
      </c>
      <c r="G32" s="159" t="str">
        <f>IF(D32="","",IF(INT(VALUE(RIGHT(D32,3))/100)=$B$2,IF(VLOOKUP(D32,登!$B$4:$I$103,2,0)=登!$B$1,1,IF(VLOOKUP(D32,登!$B$4:$I$103,2,0)=登!$B$1-1,2,IF(VLOOKUP(D32,登!$B$4:$I$103,2,0)=登!$B$1-2,3,"学年ミス"))),"番号ミス"))</f>
        <v/>
      </c>
      <c r="H32" s="154" t="str">
        <f t="shared" si="1"/>
        <v/>
      </c>
    </row>
    <row r="33" spans="1:11" ht="12.75" customHeight="1">
      <c r="A33" s="160" t="str">
        <f>IF($D$32="","",IF($B$2=1,IF(COUNT($D$32:$D$34)=3,VLOOKUP(登!$D$1,立男!$A$4:$I$100,4,0)+1000,VLOOKUP(登!$D$1,立男!$A$4:$I$100,4,0)+1100),IF(COUNT($D$32:$D$34)=3,VLOOKUP(登!$D$1,立女!$A$4:$I$100,4,0)+1000,VLOOKUP(登!$D$1,立女!$A$4:$I$100,4,0)+1100)))</f>
        <v/>
      </c>
      <c r="B33" s="161" t="s">
        <v>21</v>
      </c>
      <c r="C33" s="186" t="str">
        <f>IF(D33="","",登!$F$1)</f>
        <v/>
      </c>
      <c r="D33" s="64"/>
      <c r="E33" s="186">
        <v>16</v>
      </c>
      <c r="F33" s="164" t="str">
        <f>IF(D33="","",IF(OR(COUNTIF($D$13:$D$16,"")&gt;0,COUNTIF($D$17:$D$20,"")&gt;0),"団体から入力",IF(COUNTIF($D$26:D33,"")&gt;0,"立順9から詰めて入力",IF(INT(VALUE(RIGHT(D33,3))/100)=$B$2,VLOOKUP(D33,登!$B$4:$I$103,7,0),"部員番号入力ミス"))))</f>
        <v/>
      </c>
      <c r="G33" s="165" t="str">
        <f>IF(D33="","",IF(INT(VALUE(RIGHT(D33,3))/100)=$B$2,IF(VLOOKUP(D33,登!$B$4:$I$103,2,0)=登!$B$1,1,IF(VLOOKUP(D33,登!$B$4:$I$103,2,0)=登!$B$1-1,2,IF(VLOOKUP(D33,登!$B$4:$I$103,2,0)=登!$B$1-2,3,"学年ミス"))),"番号ミス"))</f>
        <v/>
      </c>
      <c r="H33" s="160" t="str">
        <f t="shared" si="1"/>
        <v/>
      </c>
    </row>
    <row r="34" spans="1:11" ht="12.75" customHeight="1">
      <c r="A34" s="175" t="str">
        <f>IF($D$32="","",IF($B$2=1,IF(COUNT($D$32:$D$34)=3,VLOOKUP(登!$D$1,立男!$A$4:$I$100,4,0)+1000,VLOOKUP(登!$D$1,立男!$A$4:$I$100,4,0)+1100),IF(COUNT($D$32:$D$34)=3,VLOOKUP(登!$D$1,立女!$A$4:$I$100,4,0)+1000,VLOOKUP(登!$D$1,立女!$A$4:$I$100,4,0)+1100)))</f>
        <v/>
      </c>
      <c r="B34" s="176" t="s">
        <v>21</v>
      </c>
      <c r="C34" s="187" t="str">
        <f>IF(D34="","",登!$F$1)</f>
        <v/>
      </c>
      <c r="D34" s="66"/>
      <c r="E34" s="187">
        <v>17</v>
      </c>
      <c r="F34" s="188" t="str">
        <f>IF(D34="","",IF(OR(COUNTIF($D$13:$D$16,"")&gt;0,COUNTIF($D$17:$D$20,"")&gt;0),"団体から入力",IF(COUNTIF($D$26:D34,"")&gt;0,"立順9から詰めて入力",IF(INT(VALUE(RIGHT(D34,3))/100)=$B$2,VLOOKUP(D34,登!$B$4:$I$103,7,0),"部員番号入力ミス"))))</f>
        <v/>
      </c>
      <c r="G34" s="181" t="str">
        <f>IF(D34="","",IF(INT(VALUE(RIGHT(D34,3))/100)=$B$2,IF(VLOOKUP(D34,登!$B$4:$I$103,2,0)=登!$B$1,1,IF(VLOOKUP(D34,登!$B$4:$I$103,2,0)=登!$B$1-1,2,IF(VLOOKUP(D34,登!$B$4:$I$103,2,0)=登!$B$1-2,3,"学年ミス"))),"番号ミス"))</f>
        <v/>
      </c>
      <c r="H34" s="175" t="str">
        <f t="shared" si="1"/>
        <v/>
      </c>
      <c r="K34" s="147"/>
    </row>
    <row r="35" spans="1:11" ht="12.75" customHeight="1">
      <c r="A35" s="154" t="str">
        <f>IF($D$35="","",IF($B$2=1,IF(COUNT($D$35:$D$37)=3,VLOOKUP(登!$D$1,立男!$A$4:$I$100,4,0)+1200,VLOOKUP(登!$D$1,立男!$A$4:$I$100,4,0)+1300),IF(COUNT($D$35:$D$37)=3,VLOOKUP(登!$D$1,立女!$A$4:$I$100,4,0)+1200,VLOOKUP(登!$D$1,立女!$A$4:$I$100,4,0)+1300)))</f>
        <v/>
      </c>
      <c r="B35" s="155" t="s">
        <v>21</v>
      </c>
      <c r="C35" s="185" t="str">
        <f>IF(D35="","",登!$F$1)</f>
        <v/>
      </c>
      <c r="D35" s="63"/>
      <c r="E35" s="185">
        <v>18</v>
      </c>
      <c r="F35" s="158" t="str">
        <f>IF(D35="","",IF(OR(COUNTIF($D$13:$D$16,"")&gt;0,COUNTIF($D$17:$D$20,"")&gt;0),"団体から入力",IF(COUNTIF($D$26:D35,"")&gt;0,"立順9から詰めて入力",IF(INT(VALUE(RIGHT(D35,3))/100)=$B$2,VLOOKUP(D35,登!$B$4:$I$103,7,0),"部員番号入力ミス"))))</f>
        <v/>
      </c>
      <c r="G35" s="159" t="str">
        <f>IF(D35="","",IF(INT(VALUE(RIGHT(D35,3))/100)=$B$2,IF(VLOOKUP(D35,登!$B$4:$I$103,2,0)=登!$B$1,1,IF(VLOOKUP(D35,登!$B$4:$I$103,2,0)=登!$B$1-1,2,IF(VLOOKUP(D35,登!$B$4:$I$103,2,0)=登!$B$1-2,3,"学年ミス"))),"番号ミス"))</f>
        <v/>
      </c>
      <c r="H35" s="154" t="str">
        <f t="shared" si="1"/>
        <v/>
      </c>
      <c r="K35" s="147"/>
    </row>
    <row r="36" spans="1:11" ht="12.75" customHeight="1">
      <c r="A36" s="160" t="str">
        <f>IF($D$35="","",IF($B$2=1,IF(COUNT($D$35:$D$37)=3,VLOOKUP(登!$D$1,立男!$A$4:$I$100,4,0)+1200,VLOOKUP(登!$D$1,立男!$A$4:$I$100,4,0)+1300),IF(COUNT($D$35:$D$37)=3,VLOOKUP(登!$D$1,立女!$A$4:$I$100,4,0)+1200,VLOOKUP(登!$D$1,立女!$A$4:$I$100,4,0)+1300)))</f>
        <v/>
      </c>
      <c r="B36" s="161" t="s">
        <v>21</v>
      </c>
      <c r="C36" s="186" t="str">
        <f>IF(D36="","",登!$F$1)</f>
        <v/>
      </c>
      <c r="D36" s="64"/>
      <c r="E36" s="186">
        <v>19</v>
      </c>
      <c r="F36" s="164" t="str">
        <f>IF(D36="","",IF(OR(COUNTIF($D$13:$D$16,"")&gt;0,COUNTIF($D$17:$D$20,"")&gt;0),"団体から入力",IF(COUNTIF($D$26:D36,"")&gt;0,"立順9から詰めて入力",IF(INT(VALUE(RIGHT(D36,3))/100)=$B$2,VLOOKUP(D36,登!$B$4:$I$103,7,0),"部員番号入力ミス"))))</f>
        <v/>
      </c>
      <c r="G36" s="165" t="str">
        <f>IF(D36="","",IF(INT(VALUE(RIGHT(D36,3))/100)=$B$2,IF(VLOOKUP(D36,登!$B$4:$I$103,2,0)=登!$B$1,1,IF(VLOOKUP(D36,登!$B$4:$I$103,2,0)=登!$B$1-1,2,IF(VLOOKUP(D36,登!$B$4:$I$103,2,0)=登!$B$1-2,3,"学年ミス"))),"番号ミス"))</f>
        <v/>
      </c>
      <c r="H36" s="160" t="str">
        <f t="shared" si="1"/>
        <v/>
      </c>
      <c r="K36" s="147"/>
    </row>
    <row r="37" spans="1:11" ht="12.75" customHeight="1">
      <c r="A37" s="175" t="str">
        <f>IF($D$35="","",IF($B$2=1,IF(COUNT($D$35:$D$37)=3,VLOOKUP(登!$D$1,立男!$A$4:$I$100,4,0)+1200,VLOOKUP(登!$D$1,立男!$A$4:$I$100,4,0)+1300),IF(COUNT($D$35:$D$37)=3,VLOOKUP(登!$D$1,立女!$A$4:$I$100,4,0)+1200,VLOOKUP(登!$D$1,立女!$A$4:$I$100,4,0)+1300)))</f>
        <v/>
      </c>
      <c r="B37" s="176" t="s">
        <v>21</v>
      </c>
      <c r="C37" s="187" t="str">
        <f>IF(D37="","",登!$F$1)</f>
        <v/>
      </c>
      <c r="D37" s="66"/>
      <c r="E37" s="187">
        <v>20</v>
      </c>
      <c r="F37" s="188" t="str">
        <f>IF(D37="","",IF(OR(COUNTIF($D$13:$D$16,"")&gt;0,COUNTIF($D$17:$D$20,"")&gt;0),"団体から入力",IF(COUNTIF($D$26:D37,"")&gt;0,"立順9から詰めて入力",IF(INT(VALUE(RIGHT(D37,3))/100)=$B$2,VLOOKUP(D37,登!$B$4:$I$103,7,0),"部員番号入力ミス"))))</f>
        <v/>
      </c>
      <c r="G37" s="181" t="str">
        <f>IF(D37="","",IF(INT(VALUE(RIGHT(D37,3))/100)=$B$2,IF(VLOOKUP(D37,登!$B$4:$I$103,2,0)=登!$B$1,1,IF(VLOOKUP(D37,登!$B$4:$I$103,2,0)=登!$B$1-1,2,IF(VLOOKUP(D37,登!$B$4:$I$103,2,0)=登!$B$1-2,3,"学年ミス"))),"番号ミス"))</f>
        <v/>
      </c>
      <c r="H37" s="175" t="str">
        <f t="shared" si="1"/>
        <v/>
      </c>
      <c r="K37" s="147"/>
    </row>
    <row r="38" spans="1:11" ht="12.75" customHeight="1">
      <c r="A38" s="154" t="str">
        <f>IF($D$38="","",IF($B$2=1,IF(COUNT($D$38:$D$40)=3,VLOOKUP(登!$D$1,立男!$A$4:$I$100,4,0)+1400,VLOOKUP(登!$D$1,立男!$A$4:$I$100,4,0)+1500),IF(COUNT($D$38:$D$40)=3,VLOOKUP(登!$D$1,立女!$A$4:$I$100,4,0)+1400,VLOOKUP(登!$D$1,立女!$A$4:$I$100,4,0)+1500)))</f>
        <v/>
      </c>
      <c r="B38" s="155" t="s">
        <v>21</v>
      </c>
      <c r="C38" s="185" t="str">
        <f>IF(D38="","",登!$F$1)</f>
        <v/>
      </c>
      <c r="D38" s="63"/>
      <c r="E38" s="185">
        <v>21</v>
      </c>
      <c r="F38" s="158" t="str">
        <f>IF(D38="","",IF(OR(COUNTIF($D$13:$D$16,"")&gt;0,COUNTIF($D$17:$D$20,"")&gt;0),"団体から入力",IF(COUNTIF($D$26:D38,"")&gt;0,"立順9から詰めて入力",IF(INT(VALUE(RIGHT(D38,3))/100)=$B$2,VLOOKUP(D38,登!$B$4:$I$103,7,0),"部員番号入力ミス"))))</f>
        <v/>
      </c>
      <c r="G38" s="159" t="str">
        <f>IF(D38="","",IF(INT(VALUE(RIGHT(D38,3))/100)=$B$2,IF(VLOOKUP(D38,登!$B$4:$I$103,2,0)=登!$B$1,1,IF(VLOOKUP(D38,登!$B$4:$I$103,2,0)=登!$B$1-1,2,IF(VLOOKUP(D38,登!$B$4:$I$103,2,0)=登!$B$1-2,3,"学年ミス"))),"番号ミス"))</f>
        <v/>
      </c>
      <c r="H38" s="154" t="str">
        <f t="shared" si="1"/>
        <v/>
      </c>
      <c r="K38" s="147"/>
    </row>
    <row r="39" spans="1:11" ht="12.75" customHeight="1">
      <c r="A39" s="160" t="str">
        <f>IF($D$38="","",IF($B$2=1,IF(COUNT($D$38:$D$40)=3,VLOOKUP(登!$D$1,立男!$A$4:$I$100,4,0)+1400,VLOOKUP(登!$D$1,立男!$A$4:$I$100,4,0)+1500),IF(COUNT($D$38:$D$40)=3,VLOOKUP(登!$D$1,立女!$A$4:$I$100,4,0)+1400,VLOOKUP(登!$D$1,立女!$A$4:$I$100,4,0)+1500)))</f>
        <v/>
      </c>
      <c r="B39" s="161" t="s">
        <v>21</v>
      </c>
      <c r="C39" s="186" t="str">
        <f>IF(D39="","",登!$F$1)</f>
        <v/>
      </c>
      <c r="D39" s="64"/>
      <c r="E39" s="186">
        <v>22</v>
      </c>
      <c r="F39" s="164" t="str">
        <f>IF(D39="","",IF(OR(COUNTIF($D$13:$D$16,"")&gt;0,COUNTIF($D$17:$D$20,"")&gt;0),"団体から入力",IF(COUNTIF($D$26:D39,"")&gt;0,"立順9から詰めて入力",IF(INT(VALUE(RIGHT(D39,3))/100)=$B$2,VLOOKUP(D39,登!$B$4:$I$103,7,0),"部員番号入力ミス"))))</f>
        <v/>
      </c>
      <c r="G39" s="165" t="str">
        <f>IF(D39="","",IF(INT(VALUE(RIGHT(D39,3))/100)=$B$2,IF(VLOOKUP(D39,登!$B$4:$I$103,2,0)=登!$B$1,1,IF(VLOOKUP(D39,登!$B$4:$I$103,2,0)=登!$B$1-1,2,IF(VLOOKUP(D39,登!$B$4:$I$103,2,0)=登!$B$1-2,3,"学年ミス"))),"番号ミス"))</f>
        <v/>
      </c>
      <c r="H39" s="160" t="str">
        <f t="shared" si="1"/>
        <v/>
      </c>
    </row>
    <row r="40" spans="1:11" ht="12.75" customHeight="1">
      <c r="A40" s="175" t="str">
        <f>IF($D$38="","",IF($B$2=1,IF(COUNT($D$38:$D$40)=3,VLOOKUP(登!$D$1,立男!$A$4:$I$100,4,0)+1400,VLOOKUP(登!$D$1,立男!$A$4:$I$100,4,0)+1500),IF(COUNT($D$38:$D$40)=3,VLOOKUP(登!$D$1,立女!$A$4:$I$100,4,0)+1400,VLOOKUP(登!$D$1,立女!$A$4:$I$100,4,0)+1500)))</f>
        <v/>
      </c>
      <c r="B40" s="176" t="s">
        <v>21</v>
      </c>
      <c r="C40" s="187" t="str">
        <f>IF(D40="","",登!$F$1)</f>
        <v/>
      </c>
      <c r="D40" s="66"/>
      <c r="E40" s="187">
        <v>23</v>
      </c>
      <c r="F40" s="188" t="str">
        <f>IF(D40="","",IF(OR(COUNTIF($D$13:$D$16,"")&gt;0,COUNTIF($D$17:$D$20,"")&gt;0),"団体から入力",IF(COUNTIF($D$26:D40,"")&gt;0,"立順9から詰めて入力",IF(INT(VALUE(RIGHT(D40,3))/100)=$B$2,VLOOKUP(D40,登!$B$4:$I$103,7,0),"部員番号入力ミス"))))</f>
        <v/>
      </c>
      <c r="G40" s="181" t="str">
        <f>IF(D40="","",IF(INT(VALUE(RIGHT(D40,3))/100)=$B$2,IF(VLOOKUP(D40,登!$B$4:$I$103,2,0)=登!$B$1,1,IF(VLOOKUP(D40,登!$B$4:$I$103,2,0)=登!$B$1-1,2,IF(VLOOKUP(D40,登!$B$4:$I$103,2,0)=登!$B$1-2,3,"学年ミス"))),"番号ミス"))</f>
        <v/>
      </c>
      <c r="H40" s="175" t="str">
        <f t="shared" si="1"/>
        <v/>
      </c>
    </row>
    <row r="41" spans="1:11" ht="12.75" customHeight="1">
      <c r="A41" s="154" t="str">
        <f>IF($D$41="","",IF($B$2=1,IF(COUNT($D$41:$D$43)=3,VLOOKUP(登!$D$1,立男!$A$4:$I$100,4,0)+1600,VLOOKUP(登!$D$1,立男!$A$4:$I$100,4,0)+1700),IF(COUNT($D$41:$D$43)=3,VLOOKUP(登!$D$1,立女!$A$4:$I$100,4,0)+1600,VLOOKUP(登!$D$1,立女!$A$4:$I$100,4,0)+1700)))</f>
        <v/>
      </c>
      <c r="B41" s="155" t="s">
        <v>21</v>
      </c>
      <c r="C41" s="185" t="str">
        <f>IF(D41="","",登!$F$1)</f>
        <v/>
      </c>
      <c r="D41" s="63"/>
      <c r="E41" s="185">
        <v>24</v>
      </c>
      <c r="F41" s="158" t="str">
        <f>IF(D41="","",IF(OR(COUNTIF($D$13:$D$16,"")&gt;0,COUNTIF($D$17:$D$20,"")&gt;0),"団体から入力",IF(COUNTIF($D$26:D41,"")&gt;0,"立順9から詰めて入力",IF(INT(VALUE(RIGHT(D41,3))/100)=$B$2,VLOOKUP(D41,登!$B$4:$I$103,7,0),"部員番号入力ミス"))))</f>
        <v/>
      </c>
      <c r="G41" s="159" t="str">
        <f>IF(D41="","",IF(INT(VALUE(RIGHT(D41,3))/100)=$B$2,IF(VLOOKUP(D41,登!$B$4:$I$103,2,0)=登!$B$1,1,IF(VLOOKUP(D41,登!$B$4:$I$103,2,0)=登!$B$1-1,2,IF(VLOOKUP(D41,登!$B$4:$I$103,2,0)=登!$B$1-2,3,"学年ミス"))),"番号ミス"))</f>
        <v/>
      </c>
      <c r="H41" s="154" t="str">
        <f t="shared" si="1"/>
        <v/>
      </c>
    </row>
    <row r="42" spans="1:11" ht="12.75" customHeight="1">
      <c r="A42" s="160" t="str">
        <f>IF($D$41="","",IF($B$2=1,IF(COUNT($D$41:$D$43)=3,VLOOKUP(登!$D$1,立男!$A$4:$I$100,4,0)+1600,VLOOKUP(登!$D$1,立男!$A$4:$I$100,4,0)+1700),IF(COUNT($D$41:$D$43)=3,VLOOKUP(登!$D$1,立女!$A$4:$I$100,4,0)+1600,VLOOKUP(登!$D$1,立女!$A$4:$I$100,4,0)+1700)))</f>
        <v/>
      </c>
      <c r="B42" s="161" t="s">
        <v>21</v>
      </c>
      <c r="C42" s="186" t="str">
        <f>IF(D42="","",登!$F$1)</f>
        <v/>
      </c>
      <c r="D42" s="64"/>
      <c r="E42" s="186">
        <v>25</v>
      </c>
      <c r="F42" s="164" t="str">
        <f>IF(D42="","",IF(OR(COUNTIF($D$13:$D$16,"")&gt;0,COUNTIF($D$17:$D$20,"")&gt;0),"団体から入力",IF(COUNTIF($D$26:D42,"")&gt;0,"立順9から詰めて入力",IF(INT(VALUE(RIGHT(D42,3))/100)=$B$2,VLOOKUP(D42,登!$B$4:$I$103,7,0),"部員番号入力ミス"))))</f>
        <v/>
      </c>
      <c r="G42" s="165" t="str">
        <f>IF(D42="","",IF(INT(VALUE(RIGHT(D42,3))/100)=$B$2,IF(VLOOKUP(D42,登!$B$4:$I$103,2,0)=登!$B$1,1,IF(VLOOKUP(D42,登!$B$4:$I$103,2,0)=登!$B$1-1,2,IF(VLOOKUP(D42,登!$B$4:$I$103,2,0)=登!$B$1-2,3,"学年ミス"))),"番号ミス"))</f>
        <v/>
      </c>
      <c r="H42" s="160" t="str">
        <f t="shared" si="1"/>
        <v/>
      </c>
    </row>
    <row r="43" spans="1:11" ht="12.75" customHeight="1">
      <c r="A43" s="175" t="str">
        <f>IF($D$41="","",IF($B$2=1,IF(COUNT($D$41:$D$43)=3,VLOOKUP(登!$D$1,立男!$A$4:$I$100,4,0)+1600,VLOOKUP(登!$D$1,立男!$A$4:$I$100,4,0)+1700),IF(COUNT($D$41:$D$43)=3,VLOOKUP(登!$D$1,立女!$A$4:$I$100,4,0)+1600,VLOOKUP(登!$D$1,立女!$A$4:$I$100,4,0)+1700)))</f>
        <v/>
      </c>
      <c r="B43" s="176" t="s">
        <v>21</v>
      </c>
      <c r="C43" s="187" t="str">
        <f>IF(D43="","",登!$F$1)</f>
        <v/>
      </c>
      <c r="D43" s="66"/>
      <c r="E43" s="187">
        <v>26</v>
      </c>
      <c r="F43" s="188" t="str">
        <f>IF(D43="","",IF(OR(COUNTIF($D$13:$D$16,"")&gt;0,COUNTIF($D$17:$D$20,"")&gt;0),"団体から入力",IF(COUNTIF($D$26:D43,"")&gt;0,"立順9から詰めて入力",IF(INT(VALUE(RIGHT(D43,3))/100)=$B$2,VLOOKUP(D43,登!$B$4:$I$103,7,0),"部員番号入力ミス"))))</f>
        <v/>
      </c>
      <c r="G43" s="181" t="str">
        <f>IF(D43="","",IF(INT(VALUE(RIGHT(D43,3))/100)=$B$2,IF(VLOOKUP(D43,登!$B$4:$I$103,2,0)=登!$B$1,1,IF(VLOOKUP(D43,登!$B$4:$I$103,2,0)=登!$B$1-1,2,IF(VLOOKUP(D43,登!$B$4:$I$103,2,0)=登!$B$1-2,3,"学年ミス"))),"番号ミス"))</f>
        <v/>
      </c>
      <c r="H43" s="175" t="str">
        <f t="shared" si="1"/>
        <v/>
      </c>
    </row>
    <row r="44" spans="1:11" ht="12.75" customHeight="1">
      <c r="A44" s="154" t="str">
        <f>IF($D$44="","",IF($B$2=1,IF(COUNT($D$44:$D$46)=3,VLOOKUP(登!$D$1,立男!$A$4:$I$100,4,0)+1800,VLOOKUP(登!$D$1,立男!$A$4:$I$100,4,0)+1900),IF(COUNT($D$44:$D$46)=3,VLOOKUP(登!$D$1,立女!$A$4:$I$100,4,0)+1800,VLOOKUP(登!$D$1,立女!$A$4:$I$100,4,0)+1900)))</f>
        <v/>
      </c>
      <c r="B44" s="155" t="s">
        <v>21</v>
      </c>
      <c r="C44" s="185" t="str">
        <f>IF(D44="","",登!$F$1)</f>
        <v/>
      </c>
      <c r="D44" s="63"/>
      <c r="E44" s="185">
        <v>27</v>
      </c>
      <c r="F44" s="158" t="str">
        <f>IF(D44="","",IF(OR(COUNTIF($D$13:$D$16,"")&gt;0,COUNTIF($D$17:$D$20,"")&gt;0),"団体から入力",IF(COUNTIF($D$26:D44,"")&gt;0,"立順9から詰めて入力",IF(INT(VALUE(RIGHT(D44,3))/100)=$B$2,VLOOKUP(D44,登!$B$4:$I$103,7,0),"部員番号入力ミス"))))</f>
        <v/>
      </c>
      <c r="G44" s="159" t="str">
        <f>IF(D44="","",IF(INT(VALUE(RIGHT(D44,3))/100)=$B$2,IF(VLOOKUP(D44,登!$B$4:$I$103,2,0)=登!$B$1,1,IF(VLOOKUP(D44,登!$B$4:$I$103,2,0)=登!$B$1-1,2,IF(VLOOKUP(D44,登!$B$4:$I$103,2,0)=登!$B$1-2,3,"学年ミス"))),"番号ミス"))</f>
        <v/>
      </c>
      <c r="H44" s="154" t="str">
        <f t="shared" si="1"/>
        <v/>
      </c>
    </row>
    <row r="45" spans="1:11" ht="12.75" customHeight="1">
      <c r="A45" s="160" t="str">
        <f>IF($D$44="","",IF($B$2=1,IF(COUNT($D$44:$D$46)=3,VLOOKUP(登!$D$1,立男!$A$4:$I$100,4,0)+1800,VLOOKUP(登!$D$1,立男!$A$4:$I$100,4,0)+1900),IF(COUNT($D$44:$D$46)=3,VLOOKUP(登!$D$1,立女!$A$4:$I$100,4,0)+1800,VLOOKUP(登!$D$1,立女!$A$4:$I$100,4,0)+1900)))</f>
        <v/>
      </c>
      <c r="B45" s="161" t="s">
        <v>21</v>
      </c>
      <c r="C45" s="186" t="str">
        <f>IF(D45="","",登!$F$1)</f>
        <v/>
      </c>
      <c r="D45" s="64"/>
      <c r="E45" s="186">
        <v>28</v>
      </c>
      <c r="F45" s="164" t="str">
        <f>IF(D45="","",IF(OR(COUNTIF($D$13:$D$16,"")&gt;0,COUNTIF($D$17:$D$20,"")&gt;0),"団体から入力",IF(COUNTIF($D$26:D45,"")&gt;0,"立順9から詰めて入力",IF(INT(VALUE(RIGHT(D45,3))/100)=$B$2,VLOOKUP(D45,登!$B$4:$I$103,7,0),"部員番号入力ミス"))))</f>
        <v/>
      </c>
      <c r="G45" s="165" t="str">
        <f>IF(D45="","",IF(INT(VALUE(RIGHT(D45,3))/100)=$B$2,IF(VLOOKUP(D45,登!$B$4:$I$103,2,0)=登!$B$1,1,IF(VLOOKUP(D45,登!$B$4:$I$103,2,0)=登!$B$1-1,2,IF(VLOOKUP(D45,登!$B$4:$I$103,2,0)=登!$B$1-2,3,"学年ミス"))),"番号ミス"))</f>
        <v/>
      </c>
      <c r="H45" s="160" t="str">
        <f t="shared" si="1"/>
        <v/>
      </c>
    </row>
    <row r="46" spans="1:11" ht="12.75" customHeight="1">
      <c r="A46" s="175" t="str">
        <f>IF($D$44="","",IF($B$2=1,IF(COUNT($D$44:$D$46)=3,VLOOKUP(登!$D$1,立男!$A$4:$I$100,4,0)+1800,VLOOKUP(登!$D$1,立男!$A$4:$I$100,4,0)+1900),IF(COUNT($D$44:$D$46)=3,VLOOKUP(登!$D$1,立女!$A$4:$I$100,4,0)+1800,VLOOKUP(登!$D$1,立女!$A$4:$I$100,4,0)+1900)))</f>
        <v/>
      </c>
      <c r="B46" s="176" t="s">
        <v>21</v>
      </c>
      <c r="C46" s="187" t="str">
        <f>IF(D46="","",登!$F$1)</f>
        <v/>
      </c>
      <c r="D46" s="66"/>
      <c r="E46" s="187">
        <v>29</v>
      </c>
      <c r="F46" s="188" t="str">
        <f>IF(D46="","",IF(OR(COUNTIF($D$13:$D$16,"")&gt;0,COUNTIF($D$17:$D$20,"")&gt;0),"団体から入力",IF(COUNTIF($D$26:D46,"")&gt;0,"立順9から詰めて入力",IF(INT(VALUE(RIGHT(D46,3))/100)=$B$2,VLOOKUP(D46,登!$B$4:$I$103,7,0),"部員番号入力ミス"))))</f>
        <v/>
      </c>
      <c r="G46" s="181" t="str">
        <f>IF(D46="","",IF(INT(VALUE(RIGHT(D46,3))/100)=$B$2,IF(VLOOKUP(D46,登!$B$4:$I$103,2,0)=登!$B$1,1,IF(VLOOKUP(D46,登!$B$4:$I$103,2,0)=登!$B$1-1,2,IF(VLOOKUP(D46,登!$B$4:$I$103,2,0)=登!$B$1-2,3,"学年ミス"))),"番号ミス"))</f>
        <v/>
      </c>
      <c r="H46" s="175" t="str">
        <f t="shared" si="1"/>
        <v/>
      </c>
    </row>
    <row r="47" spans="1:11" ht="12.75" customHeight="1">
      <c r="A47" s="154" t="str">
        <f>IF($D$47="","",IF($B$2=1,IF(COUNT($D$47:$D$49)=3,VLOOKUP(登!$D$1,立男!$A$4:$I$100,4,0)+2000,VLOOKUP(登!$D$1,立男!$A$4:$I$100,4,0)+2100),IF(COUNT($D$47:$D$49)=3,VLOOKUP(登!$D$1,立女!$A$4:$I$100,4,0)+2000,VLOOKUP(登!$D$1,立女!$A$4:$I$100,4,0)+2100)))</f>
        <v/>
      </c>
      <c r="B47" s="155" t="s">
        <v>21</v>
      </c>
      <c r="C47" s="185" t="str">
        <f>IF(D47="","",登!$F$1)</f>
        <v/>
      </c>
      <c r="D47" s="63"/>
      <c r="E47" s="185">
        <v>30</v>
      </c>
      <c r="F47" s="158" t="str">
        <f>IF(D47="","",IF(OR(COUNTIF($D$13:$D$16,"")&gt;0,COUNTIF($D$17:$D$20,"")&gt;0),"団体から入力",IF(COUNTIF($D$26:D47,"")&gt;0,"立順9から詰めて入力",IF(INT(VALUE(RIGHT(D47,3))/100)=$B$2,VLOOKUP(D47,登!$B$4:$I$103,7,0),"部員番号入力ミス"))))</f>
        <v/>
      </c>
      <c r="G47" s="159" t="str">
        <f>IF(D47="","",IF(INT(VALUE(RIGHT(D47,3))/100)=$B$2,IF(VLOOKUP(D47,登!$B$4:$I$103,2,0)=登!$B$1,1,IF(VLOOKUP(D47,登!$B$4:$I$103,2,0)=登!$B$1-1,2,IF(VLOOKUP(D47,登!$B$4:$I$103,2,0)=登!$B$1-2,3,"学年ミス"))),"番号ミス"))</f>
        <v/>
      </c>
      <c r="H47" s="154" t="str">
        <f t="shared" si="1"/>
        <v/>
      </c>
    </row>
    <row r="48" spans="1:11" ht="12.75" customHeight="1">
      <c r="A48" s="160" t="str">
        <f>IF($D$47="","",IF($B$2=1,IF(COUNT($D$47:$D$49)=3,VLOOKUP(登!$D$1,立男!$A$4:$I$100,4,0)+2000,VLOOKUP(登!$D$1,立男!$A$4:$I$100,4,0)+2100),IF(COUNT($D$47:$D$49)=3,VLOOKUP(登!$D$1,立女!$A$4:$I$100,4,0)+2000,VLOOKUP(登!$D$1,立女!$A$4:$I$100,4,0)+2100)))</f>
        <v/>
      </c>
      <c r="B48" s="161" t="s">
        <v>21</v>
      </c>
      <c r="C48" s="186" t="str">
        <f>IF(D48="","",登!$F$1)</f>
        <v/>
      </c>
      <c r="D48" s="64"/>
      <c r="E48" s="186">
        <v>31</v>
      </c>
      <c r="F48" s="164" t="str">
        <f>IF(D48="","",IF(OR(COUNTIF($D$13:$D$16,"")&gt;0,COUNTIF($D$17:$D$20,"")&gt;0),"団体から入力",IF(COUNTIF($D$26:D48,"")&gt;0,"立順9から詰めて入力",IF(INT(VALUE(RIGHT(D48,3))/100)=$B$2,VLOOKUP(D48,登!$B$4:$I$103,7,0),"部員番号入力ミス"))))</f>
        <v/>
      </c>
      <c r="G48" s="165" t="str">
        <f>IF(D48="","",IF(INT(VALUE(RIGHT(D48,3))/100)=$B$2,IF(VLOOKUP(D48,登!$B$4:$I$103,2,0)=登!$B$1,1,IF(VLOOKUP(D48,登!$B$4:$I$103,2,0)=登!$B$1-1,2,IF(VLOOKUP(D48,登!$B$4:$I$103,2,0)=登!$B$1-2,3,"学年ミス"))),"番号ミス"))</f>
        <v/>
      </c>
      <c r="H48" s="160" t="str">
        <f t="shared" si="1"/>
        <v/>
      </c>
    </row>
    <row r="49" spans="1:8" ht="12.75" customHeight="1">
      <c r="A49" s="175" t="str">
        <f>IF($D$47="","",IF($B$2=1,IF(COUNT($D$47:$D$49)=3,VLOOKUP(登!$D$1,立男!$A$4:$I$100,4,0)+2000,VLOOKUP(登!$D$1,立男!$A$4:$I$100,4,0)+2100),IF(COUNT($D$47:$D$49)=3,VLOOKUP(登!$D$1,立女!$A$4:$I$100,4,0)+2000,VLOOKUP(登!$D$1,立女!$A$4:$I$100,4,0)+2100)))</f>
        <v/>
      </c>
      <c r="B49" s="176" t="s">
        <v>21</v>
      </c>
      <c r="C49" s="187" t="str">
        <f>IF(D49="","",登!$F$1)</f>
        <v/>
      </c>
      <c r="D49" s="66"/>
      <c r="E49" s="187">
        <v>32</v>
      </c>
      <c r="F49" s="188" t="str">
        <f>IF(D49="","",IF(OR(COUNTIF($D$13:$D$16,"")&gt;0,COUNTIF($D$17:$D$20,"")&gt;0),"団体から入力",IF(COUNTIF($D$26:D49,"")&gt;0,"立順9から詰めて入力",IF(INT(VALUE(RIGHT(D49,3))/100)=$B$2,VLOOKUP(D49,登!$B$4:$I$103,7,0),"部員番号入力ミス"))))</f>
        <v/>
      </c>
      <c r="G49" s="181" t="str">
        <f>IF(D49="","",IF(INT(VALUE(RIGHT(D49,3))/100)=$B$2,IF(VLOOKUP(D49,登!$B$4:$I$103,2,0)=登!$B$1,1,IF(VLOOKUP(D49,登!$B$4:$I$103,2,0)=登!$B$1-1,2,IF(VLOOKUP(D49,登!$B$4:$I$103,2,0)=登!$B$1-2,3,"学年ミス"))),"番号ミス"))</f>
        <v/>
      </c>
      <c r="H49" s="175" t="str">
        <f t="shared" si="1"/>
        <v/>
      </c>
    </row>
    <row r="50" spans="1:8" ht="12.75" customHeight="1">
      <c r="A50" s="154" t="str">
        <f>IF($D$50="","",IF($B$2=1,IF(COUNT($D$50:$D$52)=3,VLOOKUP(登!$D$1,立男!$A$4:$I$100,4,0)+2200,VLOOKUP(登!$D$1,立男!$A$4:$I$100,4,0)+2300),IF(COUNT($D$50:$D$52)=3,VLOOKUP(登!$D$1,立女!$A$4:$I$100,4,0)+2200,VLOOKUP(登!$D$1,立女!$A$4:$I$100,4,0)+2300)))</f>
        <v/>
      </c>
      <c r="B50" s="155" t="s">
        <v>21</v>
      </c>
      <c r="C50" s="185" t="str">
        <f>IF(D50="","",登!$F$1)</f>
        <v/>
      </c>
      <c r="D50" s="63"/>
      <c r="E50" s="185">
        <v>33</v>
      </c>
      <c r="F50" s="158" t="str">
        <f>IF(D50="","",IF(OR(COUNTIF($D$13:$D$16,"")&gt;0,COUNTIF($D$17:$D$20,"")&gt;0),"団体から入力",IF(COUNTIF($D$26:D50,"")&gt;0,"立順9から詰めて入力",IF(INT(VALUE(RIGHT(D50,3))/100)=$B$2,VLOOKUP(D50,登!$B$4:$I$103,7,0),"部員番号入力ミス"))))</f>
        <v/>
      </c>
      <c r="G50" s="159" t="str">
        <f>IF(D50="","",IF(INT(VALUE(RIGHT(D50,3))/100)=$B$2,IF(VLOOKUP(D50,登!$B$4:$I$103,2,0)=登!$B$1,1,IF(VLOOKUP(D50,登!$B$4:$I$103,2,0)=登!$B$1-1,2,IF(VLOOKUP(D50,登!$B$4:$I$103,2,0)=登!$B$1-2,3,"学年ミス"))),"番号ミス"))</f>
        <v/>
      </c>
      <c r="H50" s="154" t="str">
        <f t="shared" si="1"/>
        <v/>
      </c>
    </row>
    <row r="51" spans="1:8" ht="12.75" customHeight="1">
      <c r="A51" s="160" t="str">
        <f>IF($D$50="","",IF($B$2=1,IF(COUNT($D$50:$D$52)=3,VLOOKUP(登!$D$1,立男!$A$4:$I$100,4,0)+2200,VLOOKUP(登!$D$1,立男!$A$4:$I$100,4,0)+2300),IF(COUNT($D$50:$D$52)=3,VLOOKUP(登!$D$1,立女!$A$4:$I$100,4,0)+2200,VLOOKUP(登!$D$1,立女!$A$4:$I$100,4,0)+2300)))</f>
        <v/>
      </c>
      <c r="B51" s="161" t="s">
        <v>21</v>
      </c>
      <c r="C51" s="186" t="str">
        <f>IF(D51="","",登!$F$1)</f>
        <v/>
      </c>
      <c r="D51" s="64"/>
      <c r="E51" s="186">
        <v>34</v>
      </c>
      <c r="F51" s="164" t="str">
        <f>IF(D51="","",IF(OR(COUNTIF($D$13:$D$16,"")&gt;0,COUNTIF($D$17:$D$20,"")&gt;0),"団体から入力",IF(COUNTIF($D$26:D51,"")&gt;0,"立順9から詰めて入力",IF(INT(VALUE(RIGHT(D51,3))/100)=$B$2,VLOOKUP(D51,登!$B$4:$I$103,7,0),"部員番号入力ミス"))))</f>
        <v/>
      </c>
      <c r="G51" s="165" t="str">
        <f>IF(D51="","",IF(INT(VALUE(RIGHT(D51,3))/100)=$B$2,IF(VLOOKUP(D51,登!$B$4:$I$103,2,0)=登!$B$1,1,IF(VLOOKUP(D51,登!$B$4:$I$103,2,0)=登!$B$1-1,2,IF(VLOOKUP(D51,登!$B$4:$I$103,2,0)=登!$B$1-2,3,"学年ミス"))),"番号ミス"))</f>
        <v/>
      </c>
      <c r="H51" s="160" t="str">
        <f t="shared" si="1"/>
        <v/>
      </c>
    </row>
    <row r="52" spans="1:8" ht="12.75" customHeight="1">
      <c r="A52" s="175" t="str">
        <f>IF($D$50="","",IF($B$2=1,IF(COUNT($D$50:$D$52)=3,VLOOKUP(登!$D$1,立男!$A$4:$I$100,4,0)+2200,VLOOKUP(登!$D$1,立男!$A$4:$I$100,4,0)+2300),IF(COUNT($D$50:$D$52)=3,VLOOKUP(登!$D$1,立女!$A$4:$I$100,4,0)+2200,VLOOKUP(登!$D$1,立女!$A$4:$I$100,4,0)+2300)))</f>
        <v/>
      </c>
      <c r="B52" s="176" t="s">
        <v>21</v>
      </c>
      <c r="C52" s="187" t="str">
        <f>IF(D52="","",登!$F$1)</f>
        <v/>
      </c>
      <c r="D52" s="66"/>
      <c r="E52" s="187">
        <v>35</v>
      </c>
      <c r="F52" s="188" t="str">
        <f>IF(D52="","",IF(OR(COUNTIF($D$13:$D$16,"")&gt;0,COUNTIF($D$17:$D$20,"")&gt;0),"団体から入力",IF(COUNTIF($D$26:D52,"")&gt;0,"立順9から詰めて入力",IF(INT(VALUE(RIGHT(D52,3))/100)=$B$2,VLOOKUP(D52,登!$B$4:$I$103,7,0),"部員番号入力ミス"))))</f>
        <v/>
      </c>
      <c r="G52" s="181" t="str">
        <f>IF(D52="","",IF(INT(VALUE(RIGHT(D52,3))/100)=$B$2,IF(VLOOKUP(D52,登!$B$4:$I$103,2,0)=登!$B$1,1,IF(VLOOKUP(D52,登!$B$4:$I$103,2,0)=登!$B$1-1,2,IF(VLOOKUP(D52,登!$B$4:$I$103,2,0)=登!$B$1-2,3,"学年ミス"))),"番号ミス"))</f>
        <v/>
      </c>
      <c r="H52" s="175" t="str">
        <f t="shared" si="1"/>
        <v/>
      </c>
    </row>
    <row r="53" spans="1:8" ht="12.75" customHeight="1">
      <c r="A53" s="154" t="str">
        <f>IF($D$53="","",IF($B$2=1,IF(COUNT($D$53:$D$55)=3,VLOOKUP(登!$D$1,立男!$A$4:$I$100,4,0)+2400,VLOOKUP(登!$D$1,立男!$A$4:$I$100,4,0)+2500),IF(COUNT($D$53:$D$55)=3,VLOOKUP(登!$D$1,立女!$A$4:$I$100,4,0)+2400,VLOOKUP(登!$D$1,立女!$A$4:$I$100,4,0)+2500)))</f>
        <v/>
      </c>
      <c r="B53" s="155" t="s">
        <v>21</v>
      </c>
      <c r="C53" s="185" t="str">
        <f>IF(D53="","",登!$F$1)</f>
        <v/>
      </c>
      <c r="D53" s="63"/>
      <c r="E53" s="185">
        <v>36</v>
      </c>
      <c r="F53" s="158" t="str">
        <f>IF(D53="","",IF(OR(COUNTIF($D$13:$D$16,"")&gt;0,COUNTIF($D$17:$D$20,"")&gt;0),"団体から入力",IF(COUNTIF($D$26:D53,"")&gt;0,"立順9から詰めて入力",IF(INT(VALUE(RIGHT(D53,3))/100)=$B$2,VLOOKUP(D53,登!$B$4:$I$103,7,0),"部員番号入力ミス"))))</f>
        <v/>
      </c>
      <c r="G53" s="159" t="str">
        <f>IF(D53="","",IF(INT(VALUE(RIGHT(D53,3))/100)=$B$2,IF(VLOOKUP(D53,登!$B$4:$I$103,2,0)=登!$B$1,1,IF(VLOOKUP(D53,登!$B$4:$I$103,2,0)=登!$B$1-1,2,IF(VLOOKUP(D53,登!$B$4:$I$103,2,0)=登!$B$1-2,3,"学年ミス"))),"番号ミス"))</f>
        <v/>
      </c>
      <c r="H53" s="154" t="str">
        <f t="shared" si="1"/>
        <v/>
      </c>
    </row>
    <row r="54" spans="1:8" ht="12.75" customHeight="1">
      <c r="A54" s="160" t="str">
        <f>IF($D$53="","",IF($B$2=1,IF(COUNT($D$53:$D$55)=3,VLOOKUP(登!$D$1,立男!$A$4:$I$100,4,0)+2400,VLOOKUP(登!$D$1,立男!$A$4:$I$100,4,0)+2500),IF(COUNT($D$53:$D$55)=3,VLOOKUP(登!$D$1,立女!$A$4:$I$100,4,0)+2400,VLOOKUP(登!$D$1,立女!$A$4:$I$100,4,0)+2500)))</f>
        <v/>
      </c>
      <c r="B54" s="161" t="s">
        <v>21</v>
      </c>
      <c r="C54" s="186" t="str">
        <f>IF(D54="","",登!$F$1)</f>
        <v/>
      </c>
      <c r="D54" s="64"/>
      <c r="E54" s="186">
        <v>37</v>
      </c>
      <c r="F54" s="164" t="str">
        <f>IF(D54="","",IF(OR(COUNTIF($D$13:$D$16,"")&gt;0,COUNTIF($D$17:$D$20,"")&gt;0),"団体から入力",IF(COUNTIF($D$26:D54,"")&gt;0,"立順9から詰めて入力",IF(INT(VALUE(RIGHT(D54,3))/100)=$B$2,VLOOKUP(D54,登!$B$4:$I$103,7,0),"部員番号入力ミス"))))</f>
        <v/>
      </c>
      <c r="G54" s="165" t="str">
        <f>IF(D54="","",IF(INT(VALUE(RIGHT(D54,3))/100)=$B$2,IF(VLOOKUP(D54,登!$B$4:$I$103,2,0)=登!$B$1,1,IF(VLOOKUP(D54,登!$B$4:$I$103,2,0)=登!$B$1-1,2,IF(VLOOKUP(D54,登!$B$4:$I$103,2,0)=登!$B$1-2,3,"学年ミス"))),"番号ミス"))</f>
        <v/>
      </c>
      <c r="H54" s="160" t="str">
        <f t="shared" si="1"/>
        <v/>
      </c>
    </row>
    <row r="55" spans="1:8" ht="12.75" customHeight="1">
      <c r="A55" s="175" t="str">
        <f>IF($D$53="","",IF($B$2=1,IF(COUNT($D$53:$D$55)=3,VLOOKUP(登!$D$1,立男!$A$4:$I$100,4,0)+2400,VLOOKUP(登!$D$1,立男!$A$4:$I$100,4,0)+2500),IF(COUNT($D$53:$D$55)=3,VLOOKUP(登!$D$1,立女!$A$4:$I$100,4,0)+2400,VLOOKUP(登!$D$1,立女!$A$4:$I$100,4,0)+2500)))</f>
        <v/>
      </c>
      <c r="B55" s="176" t="s">
        <v>21</v>
      </c>
      <c r="C55" s="187" t="str">
        <f>IF(D55="","",登!$F$1)</f>
        <v/>
      </c>
      <c r="D55" s="66"/>
      <c r="E55" s="187">
        <v>38</v>
      </c>
      <c r="F55" s="188" t="str">
        <f>IF(D55="","",IF(OR(COUNTIF($D$13:$D$16,"")&gt;0,COUNTIF($D$17:$D$20,"")&gt;0),"団体から入力",IF(COUNTIF($D$26:D55,"")&gt;0,"立順9から詰めて入力",IF(INT(VALUE(RIGHT(D55,3))/100)=$B$2,VLOOKUP(D55,登!$B$4:$I$103,7,0),"部員番号入力ミス"))))</f>
        <v/>
      </c>
      <c r="G55" s="181" t="str">
        <f>IF(D55="","",IF(INT(VALUE(RIGHT(D55,3))/100)=$B$2,IF(VLOOKUP(D55,登!$B$4:$I$103,2,0)=登!$B$1,1,IF(VLOOKUP(D55,登!$B$4:$I$103,2,0)=登!$B$1-1,2,IF(VLOOKUP(D55,登!$B$4:$I$103,2,0)=登!$B$1-2,3,"学年ミス"))),"番号ミス"))</f>
        <v/>
      </c>
      <c r="H55" s="175" t="str">
        <f t="shared" si="1"/>
        <v/>
      </c>
    </row>
    <row r="56" spans="1:8" ht="12.75" customHeight="1">
      <c r="A56" s="154" t="str">
        <f>IF($D$56="","",IF($B$2=1,IF(COUNT($D$56:$D$58)=3,VLOOKUP(登!$D$1,立男!$A$4:$I$100,4,0)+2600,VLOOKUP(登!$D$1,立男!$A$4:$I$100,4,0)+2700),IF(COUNT($D$56:$D$58)=3,VLOOKUP(登!$D$1,立女!$A$4:$I$100,4,0)+2600,VLOOKUP(登!$D$1,立女!$A$4:$I$100,4,0)+2700)))</f>
        <v/>
      </c>
      <c r="B56" s="155" t="s">
        <v>21</v>
      </c>
      <c r="C56" s="185" t="str">
        <f>IF(D56="","",登!$F$1)</f>
        <v/>
      </c>
      <c r="D56" s="63"/>
      <c r="E56" s="185">
        <v>39</v>
      </c>
      <c r="F56" s="158" t="str">
        <f>IF(D56="","",IF(OR(COUNTIF($D$13:$D$16,"")&gt;0,COUNTIF($D$17:$D$20,"")&gt;0),"団体から入力",IF(COUNTIF($D$26:D56,"")&gt;0,"立順9から詰めて入力",IF(INT(VALUE(RIGHT(D56,3))/100)=$B$2,VLOOKUP(D56,登!$B$4:$I$103,7,0),"部員番号入力ミス"))))</f>
        <v/>
      </c>
      <c r="G56" s="159" t="str">
        <f>IF(D56="","",IF(INT(VALUE(RIGHT(D56,3))/100)=$B$2,IF(VLOOKUP(D56,登!$B$4:$I$103,2,0)=登!$B$1,1,IF(VLOOKUP(D56,登!$B$4:$I$103,2,0)=登!$B$1-1,2,IF(VLOOKUP(D56,登!$B$4:$I$103,2,0)=登!$B$1-2,3,"学年ミス"))),"番号ミス"))</f>
        <v/>
      </c>
      <c r="H56" s="154" t="str">
        <f t="shared" si="1"/>
        <v/>
      </c>
    </row>
    <row r="57" spans="1:8" ht="12.75" customHeight="1">
      <c r="A57" s="160" t="str">
        <f>IF($D$56="","",IF($B$2=1,IF(COUNT($D$56:$D$58)=3,VLOOKUP(登!$D$1,立男!$A$4:$I$100,4,0)+2600,VLOOKUP(登!$D$1,立男!$A$4:$I$100,4,0)+2700),IF(COUNT($D$56:$D$58)=3,VLOOKUP(登!$D$1,立女!$A$4:$I$100,4,0)+2600,VLOOKUP(登!$D$1,立女!$A$4:$I$100,4,0)+2700)))</f>
        <v/>
      </c>
      <c r="B57" s="161" t="s">
        <v>21</v>
      </c>
      <c r="C57" s="186" t="str">
        <f>IF(D57="","",登!$F$1)</f>
        <v/>
      </c>
      <c r="D57" s="64"/>
      <c r="E57" s="186">
        <v>40</v>
      </c>
      <c r="F57" s="164" t="str">
        <f>IF(D57="","",IF(OR(COUNTIF($D$13:$D$16,"")&gt;0,COUNTIF($D$17:$D$20,"")&gt;0),"団体から入力",IF(COUNTIF($D$26:D57,"")&gt;0,"立順9から詰めて入力",IF(INT(VALUE(RIGHT(D57,3))/100)=$B$2,VLOOKUP(D57,登!$B$4:$I$103,7,0),"部員番号入力ミス"))))</f>
        <v/>
      </c>
      <c r="G57" s="165" t="str">
        <f>IF(D57="","",IF(INT(VALUE(RIGHT(D57,3))/100)=$B$2,IF(VLOOKUP(D57,登!$B$4:$I$103,2,0)=登!$B$1,1,IF(VLOOKUP(D57,登!$B$4:$I$103,2,0)=登!$B$1-1,2,IF(VLOOKUP(D57,登!$B$4:$I$103,2,0)=登!$B$1-2,3,"学年ミス"))),"番号ミス"))</f>
        <v/>
      </c>
      <c r="H57" s="160" t="str">
        <f t="shared" si="1"/>
        <v/>
      </c>
    </row>
    <row r="58" spans="1:8" ht="12.75" customHeight="1">
      <c r="A58" s="175" t="str">
        <f>IF($D$56="","",IF($B$2=1,IF(COUNT($D$56:$D$58)=3,VLOOKUP(登!$D$1,立男!$A$4:$I$100,4,0)+2600,VLOOKUP(登!$D$1,立男!$A$4:$I$100,4,0)+2700),IF(COUNT($D$56:$D$58)=3,VLOOKUP(登!$D$1,立女!$A$4:$I$100,4,0)+2600,VLOOKUP(登!$D$1,立女!$A$4:$I$100,4,0)+2700)))</f>
        <v/>
      </c>
      <c r="B58" s="176" t="s">
        <v>21</v>
      </c>
      <c r="C58" s="187" t="str">
        <f>IF(D58="","",登!$F$1)</f>
        <v/>
      </c>
      <c r="D58" s="66"/>
      <c r="E58" s="187">
        <v>41</v>
      </c>
      <c r="F58" s="188" t="str">
        <f>IF(D58="","",IF(OR(COUNTIF($D$13:$D$16,"")&gt;0,COUNTIF($D$17:$D$20,"")&gt;0),"団体から入力",IF(COUNTIF($D$26:D58,"")&gt;0,"立順9から詰めて入力",IF(INT(VALUE(RIGHT(D58,3))/100)=$B$2,VLOOKUP(D58,登!$B$4:$I$103,7,0),"部員番号入力ミス"))))</f>
        <v/>
      </c>
      <c r="G58" s="181" t="str">
        <f>IF(D58="","",IF(INT(VALUE(RIGHT(D58,3))/100)=$B$2,IF(VLOOKUP(D58,登!$B$4:$I$103,2,0)=登!$B$1,1,IF(VLOOKUP(D58,登!$B$4:$I$103,2,0)=登!$B$1-1,2,IF(VLOOKUP(D58,登!$B$4:$I$103,2,0)=登!$B$1-2,3,"学年ミス"))),"番号ミス"))</f>
        <v/>
      </c>
      <c r="H58" s="175" t="str">
        <f t="shared" si="1"/>
        <v/>
      </c>
    </row>
    <row r="59" spans="1:8" ht="7.5" customHeight="1"/>
    <row r="60" spans="1:8" s="75" customFormat="1" ht="12.75" customHeight="1">
      <c r="A60" s="410" t="s">
        <v>406</v>
      </c>
      <c r="B60" s="410"/>
      <c r="C60" s="410"/>
      <c r="D60" s="410"/>
      <c r="E60" s="407">
        <f>D7</f>
        <v>43573</v>
      </c>
      <c r="F60" s="408"/>
    </row>
    <row r="61" spans="1:8" s="75" customFormat="1" ht="12.75" customHeight="1">
      <c r="A61" s="255"/>
      <c r="B61" s="255"/>
      <c r="C61" s="255"/>
      <c r="D61" s="255"/>
      <c r="E61" s="189"/>
      <c r="F61" s="189"/>
    </row>
    <row r="62" spans="1:8" s="75" customFormat="1" ht="12.75" customHeight="1">
      <c r="A62" s="255"/>
      <c r="B62" s="255"/>
      <c r="C62" s="255"/>
      <c r="D62" s="255"/>
    </row>
    <row r="63" spans="1:8" s="75" customFormat="1" ht="12.75" customHeight="1">
      <c r="A63" s="189" t="s">
        <v>507</v>
      </c>
      <c r="B63" s="409" t="str">
        <f>IF(登!$D$1="",""," "&amp;VLOOKUP(登!$D$1,名!$G$2:$J$54,3,0))</f>
        <v/>
      </c>
      <c r="C63" s="409"/>
      <c r="D63" s="409"/>
      <c r="E63" s="189" t="s">
        <v>199</v>
      </c>
      <c r="F63" s="241" t="s">
        <v>529</v>
      </c>
      <c r="G63" s="254" t="s">
        <v>511</v>
      </c>
    </row>
    <row r="64" spans="1:8" s="75" customFormat="1" ht="12.75" customHeight="1">
      <c r="H64" s="74"/>
    </row>
    <row r="65" spans="1:11" s="75" customFormat="1" ht="12.75" customHeight="1">
      <c r="H65" s="74"/>
    </row>
    <row r="66" spans="1:11" s="75" customFormat="1" ht="12.75" customHeight="1">
      <c r="A66" s="189" t="s">
        <v>510</v>
      </c>
      <c r="B66" s="409" t="str">
        <f>IF(登!$D$1="",""," "&amp;VLOOKUP(登!$D$1,名!$G$2:$J$54,4,0))</f>
        <v/>
      </c>
      <c r="C66" s="409"/>
      <c r="D66" s="409"/>
      <c r="E66" s="189" t="s">
        <v>509</v>
      </c>
      <c r="F66" s="241" t="s">
        <v>530</v>
      </c>
      <c r="G66" s="254" t="s">
        <v>511</v>
      </c>
      <c r="H66" s="74"/>
      <c r="K66" s="190"/>
    </row>
    <row r="67" spans="1:11" s="75" customFormat="1" ht="7.5" customHeight="1">
      <c r="A67" s="190"/>
      <c r="B67" s="190"/>
      <c r="C67" s="190"/>
      <c r="D67" s="190"/>
      <c r="E67" s="190"/>
      <c r="F67" s="190"/>
      <c r="G67" s="190"/>
      <c r="H67" s="190"/>
      <c r="I67" s="190"/>
      <c r="J67" s="190"/>
      <c r="K67" s="190"/>
    </row>
    <row r="68" spans="1:11" s="75" customFormat="1" ht="7.5" customHeight="1">
      <c r="A68" s="190"/>
      <c r="B68" s="190"/>
      <c r="C68" s="190"/>
      <c r="D68" s="190"/>
      <c r="E68" s="190"/>
      <c r="F68" s="190"/>
      <c r="G68" s="190"/>
      <c r="H68" s="190"/>
      <c r="I68" s="190"/>
      <c r="J68" s="190"/>
      <c r="K68" s="190"/>
    </row>
    <row r="69" spans="1:11" ht="22.5" customHeight="1">
      <c r="A69" s="191"/>
      <c r="B69" s="256">
        <f>B2</f>
        <v>2</v>
      </c>
      <c r="C69" s="398" t="str">
        <f>C2</f>
        <v>平成31年度県高等学校弓道春季大会</v>
      </c>
      <c r="D69" s="399"/>
      <c r="E69" s="399"/>
      <c r="F69" s="399"/>
      <c r="G69" s="400"/>
      <c r="H69" s="192"/>
      <c r="I69" s="191"/>
    </row>
    <row r="70" spans="1:11" ht="12.75" customHeight="1">
      <c r="A70" s="191"/>
      <c r="B70" s="193"/>
      <c r="C70" s="193"/>
      <c r="D70" s="194"/>
      <c r="E70" s="194"/>
      <c r="F70" s="194"/>
      <c r="G70" s="195"/>
      <c r="H70" s="192"/>
      <c r="I70" s="191"/>
    </row>
    <row r="71" spans="1:11" ht="12.75" customHeight="1">
      <c r="A71" s="191"/>
      <c r="B71" s="401" t="s">
        <v>11</v>
      </c>
      <c r="C71" s="401"/>
      <c r="D71" s="402" t="str">
        <f>D4</f>
        <v>○　○　○　○</v>
      </c>
      <c r="E71" s="403"/>
      <c r="F71" s="404"/>
      <c r="G71" s="405" t="s">
        <v>205</v>
      </c>
      <c r="H71" s="406"/>
      <c r="I71" s="196">
        <f>I4</f>
        <v>0</v>
      </c>
      <c r="J71" s="142"/>
    </row>
    <row r="72" spans="1:11" ht="12.75" customHeight="1">
      <c r="A72" s="191"/>
      <c r="B72" s="193"/>
      <c r="C72" s="193"/>
      <c r="D72" s="194"/>
      <c r="E72" s="194"/>
      <c r="F72" s="194"/>
      <c r="G72" s="194"/>
      <c r="H72" s="192"/>
      <c r="I72" s="191"/>
    </row>
    <row r="73" spans="1:11" ht="12.75" customHeight="1">
      <c r="A73" s="191"/>
      <c r="B73" s="388" t="s">
        <v>39</v>
      </c>
      <c r="C73" s="388"/>
      <c r="D73" s="397">
        <f>D6</f>
        <v>2</v>
      </c>
      <c r="E73" s="397"/>
      <c r="F73" s="397"/>
      <c r="G73" s="397"/>
      <c r="H73" s="192"/>
      <c r="I73" s="191"/>
    </row>
    <row r="74" spans="1:11" ht="12.75" customHeight="1">
      <c r="A74" s="191"/>
      <c r="B74" s="388" t="s">
        <v>40</v>
      </c>
      <c r="C74" s="388"/>
      <c r="D74" s="389">
        <f>D7</f>
        <v>43573</v>
      </c>
      <c r="E74" s="390"/>
      <c r="F74" s="391" t="str">
        <f>F7</f>
        <v>木曜日　１６時</v>
      </c>
      <c r="G74" s="392"/>
      <c r="H74" s="192"/>
      <c r="I74" s="191"/>
    </row>
    <row r="75" spans="1:11" ht="12.75" customHeight="1">
      <c r="A75" s="191"/>
      <c r="B75" s="388" t="s">
        <v>38</v>
      </c>
      <c r="C75" s="388"/>
      <c r="D75" s="389">
        <f>D8</f>
        <v>43582</v>
      </c>
      <c r="E75" s="390"/>
      <c r="F75" s="391" t="str">
        <f>F8</f>
        <v>土曜日</v>
      </c>
      <c r="G75" s="392"/>
      <c r="H75" s="192"/>
      <c r="I75" s="191"/>
    </row>
    <row r="76" spans="1:11" ht="12.75" customHeight="1">
      <c r="A76" s="191"/>
      <c r="B76" s="388" t="s">
        <v>41</v>
      </c>
      <c r="C76" s="388"/>
      <c r="D76" s="393" t="s">
        <v>45</v>
      </c>
      <c r="E76" s="394"/>
      <c r="F76" s="395" t="s">
        <v>46</v>
      </c>
      <c r="G76" s="396"/>
      <c r="H76" s="192"/>
      <c r="I76" s="191"/>
    </row>
    <row r="77" spans="1:11" ht="12.75" customHeight="1">
      <c r="A77" s="191"/>
      <c r="B77" s="197"/>
      <c r="C77" s="197"/>
      <c r="D77" s="195"/>
      <c r="E77" s="195"/>
      <c r="F77" s="195"/>
      <c r="G77" s="195"/>
      <c r="H77" s="192"/>
      <c r="I77" s="191"/>
    </row>
    <row r="78" spans="1:11" ht="22.5" customHeight="1">
      <c r="A78" s="191"/>
      <c r="B78" s="384" t="str">
        <f>B11</f>
        <v>女　子　団　体　参　加　申　込　書</v>
      </c>
      <c r="C78" s="384"/>
      <c r="D78" s="384"/>
      <c r="E78" s="384"/>
      <c r="F78" s="384"/>
      <c r="G78" s="384"/>
      <c r="H78" s="192"/>
      <c r="I78" s="191"/>
    </row>
    <row r="79" spans="1:11" ht="12.75" customHeight="1">
      <c r="A79" s="256" t="s">
        <v>32</v>
      </c>
      <c r="B79" s="198" t="s">
        <v>18</v>
      </c>
      <c r="C79" s="199" t="s">
        <v>10</v>
      </c>
      <c r="D79" s="200" t="s">
        <v>33</v>
      </c>
      <c r="E79" s="201" t="s">
        <v>12</v>
      </c>
      <c r="F79" s="202" t="s">
        <v>13</v>
      </c>
      <c r="G79" s="203" t="s">
        <v>14</v>
      </c>
      <c r="H79" s="256" t="s">
        <v>47</v>
      </c>
      <c r="I79" s="191"/>
    </row>
    <row r="80" spans="1:11" ht="12.75" customHeight="1">
      <c r="A80" s="204" t="str">
        <f t="shared" ref="A80:H89" si="2">IF(A13="","",A13)</f>
        <v/>
      </c>
      <c r="B80" s="205" t="str">
        <f t="shared" si="2"/>
        <v>Ａ</v>
      </c>
      <c r="C80" s="206" t="str">
        <f t="shared" si="2"/>
        <v/>
      </c>
      <c r="D80" s="139" t="str">
        <f t="shared" si="2"/>
        <v/>
      </c>
      <c r="E80" s="207">
        <f t="shared" si="2"/>
        <v>1</v>
      </c>
      <c r="F80" s="208" t="str">
        <f t="shared" si="2"/>
        <v/>
      </c>
      <c r="G80" s="209" t="str">
        <f t="shared" si="2"/>
        <v/>
      </c>
      <c r="H80" s="204" t="str">
        <f t="shared" si="2"/>
        <v/>
      </c>
      <c r="I80" s="191"/>
    </row>
    <row r="81" spans="1:9" ht="12.75" customHeight="1">
      <c r="A81" s="210" t="str">
        <f t="shared" si="2"/>
        <v/>
      </c>
      <c r="B81" s="211" t="str">
        <f t="shared" si="2"/>
        <v>Ａ</v>
      </c>
      <c r="C81" s="212" t="str">
        <f t="shared" si="2"/>
        <v/>
      </c>
      <c r="D81" s="140" t="str">
        <f t="shared" si="2"/>
        <v/>
      </c>
      <c r="E81" s="213">
        <f t="shared" si="2"/>
        <v>2</v>
      </c>
      <c r="F81" s="214" t="str">
        <f t="shared" si="2"/>
        <v/>
      </c>
      <c r="G81" s="215" t="str">
        <f t="shared" si="2"/>
        <v/>
      </c>
      <c r="H81" s="210" t="str">
        <f t="shared" si="2"/>
        <v/>
      </c>
      <c r="I81" s="191"/>
    </row>
    <row r="82" spans="1:9" ht="12.75" customHeight="1">
      <c r="A82" s="210" t="str">
        <f t="shared" si="2"/>
        <v/>
      </c>
      <c r="B82" s="211" t="str">
        <f t="shared" si="2"/>
        <v>Ａ</v>
      </c>
      <c r="C82" s="212" t="str">
        <f t="shared" si="2"/>
        <v/>
      </c>
      <c r="D82" s="140" t="str">
        <f t="shared" si="2"/>
        <v/>
      </c>
      <c r="E82" s="213">
        <f t="shared" si="2"/>
        <v>3</v>
      </c>
      <c r="F82" s="214" t="str">
        <f t="shared" si="2"/>
        <v/>
      </c>
      <c r="G82" s="215" t="str">
        <f t="shared" si="2"/>
        <v/>
      </c>
      <c r="H82" s="210" t="str">
        <f t="shared" si="2"/>
        <v/>
      </c>
      <c r="I82" s="191"/>
    </row>
    <row r="83" spans="1:9" ht="12.75" customHeight="1">
      <c r="A83" s="216" t="str">
        <f t="shared" si="2"/>
        <v/>
      </c>
      <c r="B83" s="217" t="str">
        <f t="shared" si="2"/>
        <v>Ａ</v>
      </c>
      <c r="C83" s="218" t="str">
        <f t="shared" si="2"/>
        <v/>
      </c>
      <c r="D83" s="219" t="str">
        <f t="shared" si="2"/>
        <v/>
      </c>
      <c r="E83" s="220">
        <f t="shared" si="2"/>
        <v>4</v>
      </c>
      <c r="F83" s="221" t="str">
        <f t="shared" si="2"/>
        <v/>
      </c>
      <c r="G83" s="222" t="str">
        <f t="shared" si="2"/>
        <v/>
      </c>
      <c r="H83" s="216" t="str">
        <f t="shared" si="2"/>
        <v/>
      </c>
      <c r="I83" s="191"/>
    </row>
    <row r="84" spans="1:9" ht="12.75" customHeight="1">
      <c r="A84" s="204" t="str">
        <f t="shared" si="2"/>
        <v/>
      </c>
      <c r="B84" s="205" t="str">
        <f t="shared" si="2"/>
        <v>Ｂ</v>
      </c>
      <c r="C84" s="206" t="str">
        <f t="shared" si="2"/>
        <v/>
      </c>
      <c r="D84" s="139" t="str">
        <f t="shared" si="2"/>
        <v/>
      </c>
      <c r="E84" s="207">
        <f t="shared" si="2"/>
        <v>5</v>
      </c>
      <c r="F84" s="208" t="str">
        <f t="shared" si="2"/>
        <v/>
      </c>
      <c r="G84" s="209" t="str">
        <f t="shared" si="2"/>
        <v/>
      </c>
      <c r="H84" s="204" t="str">
        <f t="shared" si="2"/>
        <v/>
      </c>
      <c r="I84" s="191"/>
    </row>
    <row r="85" spans="1:9" ht="12.75" customHeight="1">
      <c r="A85" s="210" t="str">
        <f t="shared" si="2"/>
        <v/>
      </c>
      <c r="B85" s="211" t="str">
        <f t="shared" si="2"/>
        <v>Ｂ</v>
      </c>
      <c r="C85" s="212" t="str">
        <f t="shared" si="2"/>
        <v/>
      </c>
      <c r="D85" s="140" t="str">
        <f t="shared" si="2"/>
        <v/>
      </c>
      <c r="E85" s="213">
        <f t="shared" si="2"/>
        <v>6</v>
      </c>
      <c r="F85" s="214" t="str">
        <f t="shared" si="2"/>
        <v/>
      </c>
      <c r="G85" s="215" t="str">
        <f t="shared" si="2"/>
        <v/>
      </c>
      <c r="H85" s="210" t="str">
        <f t="shared" si="2"/>
        <v/>
      </c>
      <c r="I85" s="191"/>
    </row>
    <row r="86" spans="1:9" ht="12.75" customHeight="1">
      <c r="A86" s="210" t="str">
        <f t="shared" si="2"/>
        <v/>
      </c>
      <c r="B86" s="211" t="str">
        <f t="shared" si="2"/>
        <v>Ｂ</v>
      </c>
      <c r="C86" s="212" t="str">
        <f t="shared" si="2"/>
        <v/>
      </c>
      <c r="D86" s="140" t="str">
        <f t="shared" si="2"/>
        <v/>
      </c>
      <c r="E86" s="213">
        <f t="shared" si="2"/>
        <v>7</v>
      </c>
      <c r="F86" s="214" t="str">
        <f t="shared" si="2"/>
        <v/>
      </c>
      <c r="G86" s="215" t="str">
        <f t="shared" si="2"/>
        <v/>
      </c>
      <c r="H86" s="210" t="str">
        <f t="shared" si="2"/>
        <v/>
      </c>
      <c r="I86" s="191"/>
    </row>
    <row r="87" spans="1:9" ht="12.75" customHeight="1">
      <c r="A87" s="216" t="str">
        <f t="shared" si="2"/>
        <v/>
      </c>
      <c r="B87" s="217" t="str">
        <f t="shared" si="2"/>
        <v>Ｂ</v>
      </c>
      <c r="C87" s="218" t="str">
        <f t="shared" si="2"/>
        <v/>
      </c>
      <c r="D87" s="219" t="str">
        <f t="shared" si="2"/>
        <v/>
      </c>
      <c r="E87" s="220">
        <f t="shared" si="2"/>
        <v>8</v>
      </c>
      <c r="F87" s="221" t="str">
        <f t="shared" si="2"/>
        <v/>
      </c>
      <c r="G87" s="222" t="str">
        <f t="shared" si="2"/>
        <v/>
      </c>
      <c r="H87" s="216" t="str">
        <f t="shared" si="2"/>
        <v/>
      </c>
      <c r="I87" s="191"/>
    </row>
    <row r="88" spans="1:9" ht="12.75" customHeight="1">
      <c r="A88" s="204" t="str">
        <f t="shared" si="2"/>
        <v/>
      </c>
      <c r="B88" s="205" t="str">
        <f t="shared" si="2"/>
        <v>Ａ</v>
      </c>
      <c r="C88" s="206" t="str">
        <f t="shared" si="2"/>
        <v/>
      </c>
      <c r="D88" s="139" t="str">
        <f t="shared" si="2"/>
        <v/>
      </c>
      <c r="E88" s="207">
        <f t="shared" si="2"/>
        <v>4</v>
      </c>
      <c r="F88" s="223" t="str">
        <f t="shared" si="2"/>
        <v/>
      </c>
      <c r="G88" s="209" t="str">
        <f t="shared" si="2"/>
        <v/>
      </c>
      <c r="H88" s="224" t="str">
        <f t="shared" si="2"/>
        <v xml:space="preserve"> </v>
      </c>
      <c r="I88" s="191"/>
    </row>
    <row r="89" spans="1:9" ht="12.75" customHeight="1">
      <c r="A89" s="225" t="str">
        <f t="shared" si="2"/>
        <v/>
      </c>
      <c r="B89" s="226" t="str">
        <f t="shared" si="2"/>
        <v>Ｂ</v>
      </c>
      <c r="C89" s="227" t="str">
        <f t="shared" si="2"/>
        <v/>
      </c>
      <c r="D89" s="141" t="str">
        <f t="shared" si="2"/>
        <v/>
      </c>
      <c r="E89" s="228">
        <f t="shared" si="2"/>
        <v>8</v>
      </c>
      <c r="F89" s="229" t="str">
        <f t="shared" si="2"/>
        <v/>
      </c>
      <c r="G89" s="230" t="str">
        <f t="shared" si="2"/>
        <v/>
      </c>
      <c r="H89" s="231" t="str">
        <f t="shared" si="2"/>
        <v xml:space="preserve"> </v>
      </c>
      <c r="I89" s="191"/>
    </row>
    <row r="90" spans="1:9" ht="12.75" customHeight="1">
      <c r="A90" s="191"/>
      <c r="B90" s="232" t="s">
        <v>15</v>
      </c>
      <c r="C90" s="233"/>
      <c r="D90" s="233"/>
      <c r="E90" s="233"/>
      <c r="F90" s="233"/>
      <c r="G90" s="233"/>
      <c r="H90" s="192"/>
      <c r="I90" s="191"/>
    </row>
    <row r="91" spans="1:9" ht="22.5" customHeight="1">
      <c r="A91" s="191"/>
      <c r="B91" s="384" t="str">
        <f>B24</f>
        <v>女　子　個　人　参　加　申　込　書</v>
      </c>
      <c r="C91" s="384"/>
      <c r="D91" s="384"/>
      <c r="E91" s="384"/>
      <c r="F91" s="384"/>
      <c r="G91" s="384"/>
      <c r="H91" s="192"/>
      <c r="I91" s="191"/>
    </row>
    <row r="92" spans="1:9" ht="12.75" customHeight="1">
      <c r="A92" s="256" t="s">
        <v>32</v>
      </c>
      <c r="B92" s="198" t="s">
        <v>18</v>
      </c>
      <c r="C92" s="202" t="s">
        <v>10</v>
      </c>
      <c r="D92" s="200" t="s">
        <v>33</v>
      </c>
      <c r="E92" s="202" t="s">
        <v>12</v>
      </c>
      <c r="F92" s="202" t="s">
        <v>13</v>
      </c>
      <c r="G92" s="203" t="s">
        <v>14</v>
      </c>
      <c r="H92" s="256" t="s">
        <v>47</v>
      </c>
      <c r="I92" s="191"/>
    </row>
    <row r="93" spans="1:9" ht="12.75" customHeight="1">
      <c r="A93" s="204" t="str">
        <f t="shared" ref="A93:H108" si="3">IF(A26="","",A26)</f>
        <v/>
      </c>
      <c r="B93" s="205" t="str">
        <f t="shared" si="3"/>
        <v>個</v>
      </c>
      <c r="C93" s="234" t="str">
        <f t="shared" si="3"/>
        <v/>
      </c>
      <c r="D93" s="139" t="str">
        <f t="shared" si="3"/>
        <v/>
      </c>
      <c r="E93" s="234">
        <f t="shared" si="3"/>
        <v>9</v>
      </c>
      <c r="F93" s="208" t="str">
        <f t="shared" si="3"/>
        <v/>
      </c>
      <c r="G93" s="209" t="str">
        <f t="shared" si="3"/>
        <v/>
      </c>
      <c r="H93" s="204" t="str">
        <f t="shared" si="3"/>
        <v/>
      </c>
      <c r="I93" s="191"/>
    </row>
    <row r="94" spans="1:9" ht="12.75" customHeight="1">
      <c r="A94" s="210" t="str">
        <f t="shared" si="3"/>
        <v/>
      </c>
      <c r="B94" s="211" t="str">
        <f t="shared" si="3"/>
        <v>個</v>
      </c>
      <c r="C94" s="235" t="str">
        <f t="shared" si="3"/>
        <v/>
      </c>
      <c r="D94" s="140" t="str">
        <f t="shared" si="3"/>
        <v/>
      </c>
      <c r="E94" s="235">
        <f t="shared" si="3"/>
        <v>10</v>
      </c>
      <c r="F94" s="214" t="str">
        <f t="shared" si="3"/>
        <v/>
      </c>
      <c r="G94" s="215" t="str">
        <f t="shared" si="3"/>
        <v/>
      </c>
      <c r="H94" s="210" t="str">
        <f t="shared" si="3"/>
        <v/>
      </c>
      <c r="I94" s="191"/>
    </row>
    <row r="95" spans="1:9" ht="12.75" customHeight="1">
      <c r="A95" s="225" t="str">
        <f t="shared" si="3"/>
        <v/>
      </c>
      <c r="B95" s="226" t="str">
        <f t="shared" si="3"/>
        <v>個</v>
      </c>
      <c r="C95" s="236" t="str">
        <f t="shared" si="3"/>
        <v/>
      </c>
      <c r="D95" s="141" t="str">
        <f t="shared" si="3"/>
        <v/>
      </c>
      <c r="E95" s="236">
        <f t="shared" si="3"/>
        <v>11</v>
      </c>
      <c r="F95" s="237" t="str">
        <f t="shared" si="3"/>
        <v/>
      </c>
      <c r="G95" s="230" t="str">
        <f t="shared" si="3"/>
        <v/>
      </c>
      <c r="H95" s="225" t="str">
        <f t="shared" si="3"/>
        <v/>
      </c>
      <c r="I95" s="191"/>
    </row>
    <row r="96" spans="1:9" ht="12.75" customHeight="1">
      <c r="A96" s="204" t="str">
        <f t="shared" si="3"/>
        <v/>
      </c>
      <c r="B96" s="205" t="str">
        <f t="shared" si="3"/>
        <v>個</v>
      </c>
      <c r="C96" s="234" t="str">
        <f t="shared" si="3"/>
        <v/>
      </c>
      <c r="D96" s="139" t="str">
        <f t="shared" si="3"/>
        <v/>
      </c>
      <c r="E96" s="234">
        <f t="shared" si="3"/>
        <v>12</v>
      </c>
      <c r="F96" s="208" t="str">
        <f t="shared" si="3"/>
        <v/>
      </c>
      <c r="G96" s="209" t="str">
        <f t="shared" si="3"/>
        <v/>
      </c>
      <c r="H96" s="204" t="str">
        <f t="shared" si="3"/>
        <v/>
      </c>
      <c r="I96" s="191"/>
    </row>
    <row r="97" spans="1:11" ht="12.75" customHeight="1">
      <c r="A97" s="210" t="str">
        <f t="shared" si="3"/>
        <v/>
      </c>
      <c r="B97" s="211" t="str">
        <f t="shared" si="3"/>
        <v>個</v>
      </c>
      <c r="C97" s="235" t="str">
        <f t="shared" si="3"/>
        <v/>
      </c>
      <c r="D97" s="140" t="str">
        <f t="shared" si="3"/>
        <v/>
      </c>
      <c r="E97" s="235">
        <f t="shared" si="3"/>
        <v>13</v>
      </c>
      <c r="F97" s="214" t="str">
        <f t="shared" si="3"/>
        <v/>
      </c>
      <c r="G97" s="215" t="str">
        <f t="shared" si="3"/>
        <v/>
      </c>
      <c r="H97" s="210" t="str">
        <f t="shared" si="3"/>
        <v/>
      </c>
      <c r="I97" s="191"/>
    </row>
    <row r="98" spans="1:11" ht="12.75" customHeight="1">
      <c r="A98" s="225" t="str">
        <f t="shared" si="3"/>
        <v/>
      </c>
      <c r="B98" s="226" t="str">
        <f t="shared" si="3"/>
        <v>個</v>
      </c>
      <c r="C98" s="236" t="str">
        <f t="shared" si="3"/>
        <v/>
      </c>
      <c r="D98" s="141" t="str">
        <f t="shared" si="3"/>
        <v/>
      </c>
      <c r="E98" s="236">
        <f t="shared" si="3"/>
        <v>14</v>
      </c>
      <c r="F98" s="237" t="str">
        <f t="shared" si="3"/>
        <v/>
      </c>
      <c r="G98" s="230" t="str">
        <f t="shared" si="3"/>
        <v/>
      </c>
      <c r="H98" s="225" t="str">
        <f t="shared" si="3"/>
        <v/>
      </c>
      <c r="I98" s="191"/>
    </row>
    <row r="99" spans="1:11" ht="12.75" customHeight="1">
      <c r="A99" s="204" t="str">
        <f t="shared" si="3"/>
        <v/>
      </c>
      <c r="B99" s="205" t="str">
        <f t="shared" si="3"/>
        <v>個</v>
      </c>
      <c r="C99" s="234" t="str">
        <f t="shared" si="3"/>
        <v/>
      </c>
      <c r="D99" s="139" t="str">
        <f t="shared" si="3"/>
        <v/>
      </c>
      <c r="E99" s="234">
        <f t="shared" si="3"/>
        <v>15</v>
      </c>
      <c r="F99" s="208" t="str">
        <f t="shared" si="3"/>
        <v/>
      </c>
      <c r="G99" s="209" t="str">
        <f t="shared" si="3"/>
        <v/>
      </c>
      <c r="H99" s="204" t="str">
        <f t="shared" si="3"/>
        <v/>
      </c>
      <c r="I99" s="191"/>
    </row>
    <row r="100" spans="1:11" ht="12.75" customHeight="1">
      <c r="A100" s="210" t="str">
        <f t="shared" si="3"/>
        <v/>
      </c>
      <c r="B100" s="211" t="str">
        <f t="shared" si="3"/>
        <v>個</v>
      </c>
      <c r="C100" s="235" t="str">
        <f t="shared" si="3"/>
        <v/>
      </c>
      <c r="D100" s="140" t="str">
        <f t="shared" si="3"/>
        <v/>
      </c>
      <c r="E100" s="235">
        <f t="shared" si="3"/>
        <v>16</v>
      </c>
      <c r="F100" s="214" t="str">
        <f t="shared" si="3"/>
        <v/>
      </c>
      <c r="G100" s="215" t="str">
        <f t="shared" si="3"/>
        <v/>
      </c>
      <c r="H100" s="210" t="str">
        <f t="shared" si="3"/>
        <v/>
      </c>
      <c r="I100" s="191"/>
    </row>
    <row r="101" spans="1:11" ht="12.75" customHeight="1">
      <c r="A101" s="225" t="str">
        <f t="shared" si="3"/>
        <v/>
      </c>
      <c r="B101" s="226" t="str">
        <f t="shared" si="3"/>
        <v>個</v>
      </c>
      <c r="C101" s="236" t="str">
        <f t="shared" si="3"/>
        <v/>
      </c>
      <c r="D101" s="141" t="str">
        <f t="shared" si="3"/>
        <v/>
      </c>
      <c r="E101" s="236">
        <f t="shared" si="3"/>
        <v>17</v>
      </c>
      <c r="F101" s="237" t="str">
        <f t="shared" si="3"/>
        <v/>
      </c>
      <c r="G101" s="230" t="str">
        <f t="shared" si="3"/>
        <v/>
      </c>
      <c r="H101" s="225" t="str">
        <f t="shared" si="3"/>
        <v/>
      </c>
      <c r="I101" s="191"/>
      <c r="K101" s="147"/>
    </row>
    <row r="102" spans="1:11" ht="12.75" customHeight="1">
      <c r="A102" s="204" t="str">
        <f t="shared" si="3"/>
        <v/>
      </c>
      <c r="B102" s="205" t="str">
        <f t="shared" si="3"/>
        <v>個</v>
      </c>
      <c r="C102" s="234" t="str">
        <f t="shared" si="3"/>
        <v/>
      </c>
      <c r="D102" s="139" t="str">
        <f t="shared" si="3"/>
        <v/>
      </c>
      <c r="E102" s="234">
        <f t="shared" si="3"/>
        <v>18</v>
      </c>
      <c r="F102" s="208" t="str">
        <f t="shared" si="3"/>
        <v/>
      </c>
      <c r="G102" s="209" t="str">
        <f t="shared" si="3"/>
        <v/>
      </c>
      <c r="H102" s="204" t="str">
        <f t="shared" si="3"/>
        <v/>
      </c>
      <c r="I102" s="191"/>
      <c r="K102" s="147"/>
    </row>
    <row r="103" spans="1:11" ht="12.75" customHeight="1">
      <c r="A103" s="210" t="str">
        <f t="shared" si="3"/>
        <v/>
      </c>
      <c r="B103" s="211" t="str">
        <f t="shared" si="3"/>
        <v>個</v>
      </c>
      <c r="C103" s="235" t="str">
        <f t="shared" si="3"/>
        <v/>
      </c>
      <c r="D103" s="140" t="str">
        <f t="shared" si="3"/>
        <v/>
      </c>
      <c r="E103" s="235">
        <f t="shared" si="3"/>
        <v>19</v>
      </c>
      <c r="F103" s="214" t="str">
        <f t="shared" si="3"/>
        <v/>
      </c>
      <c r="G103" s="215" t="str">
        <f t="shared" si="3"/>
        <v/>
      </c>
      <c r="H103" s="210" t="str">
        <f t="shared" si="3"/>
        <v/>
      </c>
      <c r="I103" s="191"/>
      <c r="K103" s="147"/>
    </row>
    <row r="104" spans="1:11" ht="12.75" customHeight="1">
      <c r="A104" s="225" t="str">
        <f t="shared" si="3"/>
        <v/>
      </c>
      <c r="B104" s="226" t="str">
        <f t="shared" si="3"/>
        <v>個</v>
      </c>
      <c r="C104" s="236" t="str">
        <f t="shared" si="3"/>
        <v/>
      </c>
      <c r="D104" s="141" t="str">
        <f t="shared" si="3"/>
        <v/>
      </c>
      <c r="E104" s="236">
        <f t="shared" si="3"/>
        <v>20</v>
      </c>
      <c r="F104" s="237" t="str">
        <f t="shared" si="3"/>
        <v/>
      </c>
      <c r="G104" s="230" t="str">
        <f t="shared" si="3"/>
        <v/>
      </c>
      <c r="H104" s="225" t="str">
        <f t="shared" si="3"/>
        <v/>
      </c>
      <c r="I104" s="191"/>
      <c r="K104" s="147"/>
    </row>
    <row r="105" spans="1:11" ht="12.75" customHeight="1">
      <c r="A105" s="204" t="str">
        <f t="shared" si="3"/>
        <v/>
      </c>
      <c r="B105" s="205" t="str">
        <f t="shared" si="3"/>
        <v>個</v>
      </c>
      <c r="C105" s="234" t="str">
        <f t="shared" si="3"/>
        <v/>
      </c>
      <c r="D105" s="139" t="str">
        <f t="shared" si="3"/>
        <v/>
      </c>
      <c r="E105" s="234">
        <f t="shared" si="3"/>
        <v>21</v>
      </c>
      <c r="F105" s="208" t="str">
        <f t="shared" si="3"/>
        <v/>
      </c>
      <c r="G105" s="209" t="str">
        <f t="shared" si="3"/>
        <v/>
      </c>
      <c r="H105" s="204" t="str">
        <f t="shared" si="3"/>
        <v/>
      </c>
      <c r="I105" s="191"/>
      <c r="K105" s="147"/>
    </row>
    <row r="106" spans="1:11" ht="12.75" customHeight="1">
      <c r="A106" s="210" t="str">
        <f t="shared" si="3"/>
        <v/>
      </c>
      <c r="B106" s="211" t="str">
        <f t="shared" si="3"/>
        <v>個</v>
      </c>
      <c r="C106" s="235" t="str">
        <f t="shared" si="3"/>
        <v/>
      </c>
      <c r="D106" s="140" t="str">
        <f t="shared" si="3"/>
        <v/>
      </c>
      <c r="E106" s="235">
        <f t="shared" si="3"/>
        <v>22</v>
      </c>
      <c r="F106" s="214" t="str">
        <f t="shared" si="3"/>
        <v/>
      </c>
      <c r="G106" s="215" t="str">
        <f t="shared" si="3"/>
        <v/>
      </c>
      <c r="H106" s="210" t="str">
        <f t="shared" si="3"/>
        <v/>
      </c>
      <c r="I106" s="191"/>
    </row>
    <row r="107" spans="1:11" ht="12.75" customHeight="1">
      <c r="A107" s="225" t="str">
        <f t="shared" si="3"/>
        <v/>
      </c>
      <c r="B107" s="226" t="str">
        <f t="shared" si="3"/>
        <v>個</v>
      </c>
      <c r="C107" s="236" t="str">
        <f t="shared" si="3"/>
        <v/>
      </c>
      <c r="D107" s="141" t="str">
        <f t="shared" si="3"/>
        <v/>
      </c>
      <c r="E107" s="236">
        <f t="shared" si="3"/>
        <v>23</v>
      </c>
      <c r="F107" s="237" t="str">
        <f t="shared" si="3"/>
        <v/>
      </c>
      <c r="G107" s="230" t="str">
        <f t="shared" si="3"/>
        <v/>
      </c>
      <c r="H107" s="225" t="str">
        <f t="shared" si="3"/>
        <v/>
      </c>
      <c r="I107" s="191"/>
    </row>
    <row r="108" spans="1:11" ht="12.75" customHeight="1">
      <c r="A108" s="204" t="str">
        <f t="shared" si="3"/>
        <v/>
      </c>
      <c r="B108" s="205" t="str">
        <f t="shared" si="3"/>
        <v>個</v>
      </c>
      <c r="C108" s="234" t="str">
        <f t="shared" si="3"/>
        <v/>
      </c>
      <c r="D108" s="139" t="str">
        <f t="shared" si="3"/>
        <v/>
      </c>
      <c r="E108" s="234">
        <f t="shared" si="3"/>
        <v>24</v>
      </c>
      <c r="F108" s="208" t="str">
        <f t="shared" si="3"/>
        <v/>
      </c>
      <c r="G108" s="209" t="str">
        <f t="shared" si="3"/>
        <v/>
      </c>
      <c r="H108" s="204" t="str">
        <f t="shared" si="3"/>
        <v/>
      </c>
      <c r="I108" s="191"/>
    </row>
    <row r="109" spans="1:11" ht="12.75" customHeight="1">
      <c r="A109" s="210" t="str">
        <f t="shared" ref="A109:H124" si="4">IF(A42="","",A42)</f>
        <v/>
      </c>
      <c r="B109" s="211" t="str">
        <f t="shared" si="4"/>
        <v>個</v>
      </c>
      <c r="C109" s="235" t="str">
        <f t="shared" si="4"/>
        <v/>
      </c>
      <c r="D109" s="140" t="str">
        <f t="shared" si="4"/>
        <v/>
      </c>
      <c r="E109" s="235">
        <f t="shared" si="4"/>
        <v>25</v>
      </c>
      <c r="F109" s="214" t="str">
        <f t="shared" si="4"/>
        <v/>
      </c>
      <c r="G109" s="215" t="str">
        <f t="shared" si="4"/>
        <v/>
      </c>
      <c r="H109" s="210" t="str">
        <f t="shared" si="4"/>
        <v/>
      </c>
      <c r="I109" s="191"/>
    </row>
    <row r="110" spans="1:11" ht="12.75" customHeight="1">
      <c r="A110" s="225" t="str">
        <f t="shared" si="4"/>
        <v/>
      </c>
      <c r="B110" s="226" t="str">
        <f t="shared" si="4"/>
        <v>個</v>
      </c>
      <c r="C110" s="236" t="str">
        <f t="shared" si="4"/>
        <v/>
      </c>
      <c r="D110" s="141" t="str">
        <f t="shared" si="4"/>
        <v/>
      </c>
      <c r="E110" s="236">
        <f t="shared" si="4"/>
        <v>26</v>
      </c>
      <c r="F110" s="237" t="str">
        <f t="shared" si="4"/>
        <v/>
      </c>
      <c r="G110" s="230" t="str">
        <f t="shared" si="4"/>
        <v/>
      </c>
      <c r="H110" s="225" t="str">
        <f t="shared" si="4"/>
        <v/>
      </c>
      <c r="I110" s="191"/>
    </row>
    <row r="111" spans="1:11" ht="12.75" customHeight="1">
      <c r="A111" s="204" t="str">
        <f t="shared" si="4"/>
        <v/>
      </c>
      <c r="B111" s="205" t="str">
        <f t="shared" si="4"/>
        <v>個</v>
      </c>
      <c r="C111" s="234" t="str">
        <f t="shared" si="4"/>
        <v/>
      </c>
      <c r="D111" s="139" t="str">
        <f t="shared" si="4"/>
        <v/>
      </c>
      <c r="E111" s="234">
        <f t="shared" si="4"/>
        <v>27</v>
      </c>
      <c r="F111" s="208" t="str">
        <f t="shared" si="4"/>
        <v/>
      </c>
      <c r="G111" s="209" t="str">
        <f t="shared" si="4"/>
        <v/>
      </c>
      <c r="H111" s="204" t="str">
        <f t="shared" si="4"/>
        <v/>
      </c>
      <c r="I111" s="191"/>
    </row>
    <row r="112" spans="1:11" ht="12.75" customHeight="1">
      <c r="A112" s="210" t="str">
        <f t="shared" si="4"/>
        <v/>
      </c>
      <c r="B112" s="211" t="str">
        <f t="shared" si="4"/>
        <v>個</v>
      </c>
      <c r="C112" s="235" t="str">
        <f t="shared" si="4"/>
        <v/>
      </c>
      <c r="D112" s="140" t="str">
        <f t="shared" si="4"/>
        <v/>
      </c>
      <c r="E112" s="235">
        <f t="shared" si="4"/>
        <v>28</v>
      </c>
      <c r="F112" s="214" t="str">
        <f t="shared" si="4"/>
        <v/>
      </c>
      <c r="G112" s="215" t="str">
        <f t="shared" si="4"/>
        <v/>
      </c>
      <c r="H112" s="210" t="str">
        <f t="shared" si="4"/>
        <v/>
      </c>
      <c r="I112" s="191"/>
    </row>
    <row r="113" spans="1:9" ht="12.75" customHeight="1">
      <c r="A113" s="225" t="str">
        <f t="shared" si="4"/>
        <v/>
      </c>
      <c r="B113" s="226" t="str">
        <f t="shared" si="4"/>
        <v>個</v>
      </c>
      <c r="C113" s="236" t="str">
        <f t="shared" si="4"/>
        <v/>
      </c>
      <c r="D113" s="141" t="str">
        <f t="shared" si="4"/>
        <v/>
      </c>
      <c r="E113" s="236">
        <f t="shared" si="4"/>
        <v>29</v>
      </c>
      <c r="F113" s="237" t="str">
        <f t="shared" si="4"/>
        <v/>
      </c>
      <c r="G113" s="230" t="str">
        <f t="shared" si="4"/>
        <v/>
      </c>
      <c r="H113" s="225" t="str">
        <f t="shared" si="4"/>
        <v/>
      </c>
      <c r="I113" s="191"/>
    </row>
    <row r="114" spans="1:9" ht="12.75" customHeight="1">
      <c r="A114" s="204" t="str">
        <f t="shared" si="4"/>
        <v/>
      </c>
      <c r="B114" s="205" t="str">
        <f t="shared" si="4"/>
        <v>個</v>
      </c>
      <c r="C114" s="234" t="str">
        <f t="shared" si="4"/>
        <v/>
      </c>
      <c r="D114" s="139" t="str">
        <f t="shared" si="4"/>
        <v/>
      </c>
      <c r="E114" s="234">
        <f t="shared" si="4"/>
        <v>30</v>
      </c>
      <c r="F114" s="208" t="str">
        <f t="shared" si="4"/>
        <v/>
      </c>
      <c r="G114" s="209" t="str">
        <f t="shared" si="4"/>
        <v/>
      </c>
      <c r="H114" s="204" t="str">
        <f t="shared" si="4"/>
        <v/>
      </c>
      <c r="I114" s="191"/>
    </row>
    <row r="115" spans="1:9" ht="12.75" customHeight="1">
      <c r="A115" s="210" t="str">
        <f t="shared" si="4"/>
        <v/>
      </c>
      <c r="B115" s="211" t="str">
        <f t="shared" si="4"/>
        <v>個</v>
      </c>
      <c r="C115" s="235" t="str">
        <f t="shared" si="4"/>
        <v/>
      </c>
      <c r="D115" s="140" t="str">
        <f t="shared" si="4"/>
        <v/>
      </c>
      <c r="E115" s="235">
        <f t="shared" si="4"/>
        <v>31</v>
      </c>
      <c r="F115" s="214" t="str">
        <f t="shared" si="4"/>
        <v/>
      </c>
      <c r="G115" s="215" t="str">
        <f t="shared" si="4"/>
        <v/>
      </c>
      <c r="H115" s="210" t="str">
        <f t="shared" si="4"/>
        <v/>
      </c>
      <c r="I115" s="191"/>
    </row>
    <row r="116" spans="1:9" ht="12.75" customHeight="1">
      <c r="A116" s="225" t="str">
        <f t="shared" si="4"/>
        <v/>
      </c>
      <c r="B116" s="226" t="str">
        <f t="shared" si="4"/>
        <v>個</v>
      </c>
      <c r="C116" s="236" t="str">
        <f t="shared" si="4"/>
        <v/>
      </c>
      <c r="D116" s="141" t="str">
        <f t="shared" si="4"/>
        <v/>
      </c>
      <c r="E116" s="236">
        <f t="shared" si="4"/>
        <v>32</v>
      </c>
      <c r="F116" s="237" t="str">
        <f t="shared" si="4"/>
        <v/>
      </c>
      <c r="G116" s="230" t="str">
        <f t="shared" si="4"/>
        <v/>
      </c>
      <c r="H116" s="225" t="str">
        <f t="shared" si="4"/>
        <v/>
      </c>
      <c r="I116" s="191"/>
    </row>
    <row r="117" spans="1:9" ht="12.75" customHeight="1">
      <c r="A117" s="204" t="str">
        <f t="shared" si="4"/>
        <v/>
      </c>
      <c r="B117" s="205" t="str">
        <f t="shared" si="4"/>
        <v>個</v>
      </c>
      <c r="C117" s="234" t="str">
        <f t="shared" si="4"/>
        <v/>
      </c>
      <c r="D117" s="139" t="str">
        <f t="shared" si="4"/>
        <v/>
      </c>
      <c r="E117" s="234">
        <f t="shared" si="4"/>
        <v>33</v>
      </c>
      <c r="F117" s="208" t="str">
        <f t="shared" si="4"/>
        <v/>
      </c>
      <c r="G117" s="209" t="str">
        <f t="shared" si="4"/>
        <v/>
      </c>
      <c r="H117" s="204" t="str">
        <f t="shared" si="4"/>
        <v/>
      </c>
      <c r="I117" s="191"/>
    </row>
    <row r="118" spans="1:9" ht="12.75" customHeight="1">
      <c r="A118" s="210" t="str">
        <f t="shared" si="4"/>
        <v/>
      </c>
      <c r="B118" s="211" t="str">
        <f t="shared" si="4"/>
        <v>個</v>
      </c>
      <c r="C118" s="235" t="str">
        <f t="shared" si="4"/>
        <v/>
      </c>
      <c r="D118" s="140" t="str">
        <f t="shared" si="4"/>
        <v/>
      </c>
      <c r="E118" s="235">
        <f t="shared" si="4"/>
        <v>34</v>
      </c>
      <c r="F118" s="214" t="str">
        <f t="shared" si="4"/>
        <v/>
      </c>
      <c r="G118" s="215" t="str">
        <f t="shared" si="4"/>
        <v/>
      </c>
      <c r="H118" s="210" t="str">
        <f t="shared" si="4"/>
        <v/>
      </c>
      <c r="I118" s="191"/>
    </row>
    <row r="119" spans="1:9" ht="12.75" customHeight="1">
      <c r="A119" s="225" t="str">
        <f t="shared" si="4"/>
        <v/>
      </c>
      <c r="B119" s="226" t="str">
        <f t="shared" si="4"/>
        <v>個</v>
      </c>
      <c r="C119" s="236" t="str">
        <f t="shared" si="4"/>
        <v/>
      </c>
      <c r="D119" s="141" t="str">
        <f t="shared" si="4"/>
        <v/>
      </c>
      <c r="E119" s="236">
        <f t="shared" si="4"/>
        <v>35</v>
      </c>
      <c r="F119" s="237" t="str">
        <f t="shared" si="4"/>
        <v/>
      </c>
      <c r="G119" s="230" t="str">
        <f t="shared" si="4"/>
        <v/>
      </c>
      <c r="H119" s="225" t="str">
        <f t="shared" si="4"/>
        <v/>
      </c>
      <c r="I119" s="191"/>
    </row>
    <row r="120" spans="1:9" ht="12.75" customHeight="1">
      <c r="A120" s="204" t="str">
        <f t="shared" si="4"/>
        <v/>
      </c>
      <c r="B120" s="205" t="str">
        <f t="shared" si="4"/>
        <v>個</v>
      </c>
      <c r="C120" s="234" t="str">
        <f t="shared" si="4"/>
        <v/>
      </c>
      <c r="D120" s="139" t="str">
        <f t="shared" si="4"/>
        <v/>
      </c>
      <c r="E120" s="234">
        <f t="shared" si="4"/>
        <v>36</v>
      </c>
      <c r="F120" s="208" t="str">
        <f t="shared" si="4"/>
        <v/>
      </c>
      <c r="G120" s="209" t="str">
        <f t="shared" si="4"/>
        <v/>
      </c>
      <c r="H120" s="204" t="str">
        <f t="shared" si="4"/>
        <v/>
      </c>
      <c r="I120" s="191"/>
    </row>
    <row r="121" spans="1:9" ht="12.75" customHeight="1">
      <c r="A121" s="210" t="str">
        <f t="shared" si="4"/>
        <v/>
      </c>
      <c r="B121" s="211" t="str">
        <f t="shared" si="4"/>
        <v>個</v>
      </c>
      <c r="C121" s="235" t="str">
        <f t="shared" si="4"/>
        <v/>
      </c>
      <c r="D121" s="140" t="str">
        <f t="shared" si="4"/>
        <v/>
      </c>
      <c r="E121" s="235">
        <f t="shared" si="4"/>
        <v>37</v>
      </c>
      <c r="F121" s="214" t="str">
        <f t="shared" si="4"/>
        <v/>
      </c>
      <c r="G121" s="215" t="str">
        <f t="shared" si="4"/>
        <v/>
      </c>
      <c r="H121" s="210" t="str">
        <f t="shared" si="4"/>
        <v/>
      </c>
      <c r="I121" s="191"/>
    </row>
    <row r="122" spans="1:9" ht="12.75" customHeight="1">
      <c r="A122" s="225" t="str">
        <f t="shared" si="4"/>
        <v/>
      </c>
      <c r="B122" s="226" t="str">
        <f t="shared" si="4"/>
        <v>個</v>
      </c>
      <c r="C122" s="236" t="str">
        <f t="shared" si="4"/>
        <v/>
      </c>
      <c r="D122" s="141" t="str">
        <f t="shared" si="4"/>
        <v/>
      </c>
      <c r="E122" s="236">
        <f t="shared" si="4"/>
        <v>38</v>
      </c>
      <c r="F122" s="237" t="str">
        <f t="shared" si="4"/>
        <v/>
      </c>
      <c r="G122" s="230" t="str">
        <f t="shared" si="4"/>
        <v/>
      </c>
      <c r="H122" s="225" t="str">
        <f t="shared" si="4"/>
        <v/>
      </c>
      <c r="I122" s="191"/>
    </row>
    <row r="123" spans="1:9" ht="12.75" customHeight="1">
      <c r="A123" s="204" t="str">
        <f t="shared" si="4"/>
        <v/>
      </c>
      <c r="B123" s="205" t="str">
        <f t="shared" si="4"/>
        <v>個</v>
      </c>
      <c r="C123" s="234" t="str">
        <f t="shared" si="4"/>
        <v/>
      </c>
      <c r="D123" s="139" t="str">
        <f t="shared" si="4"/>
        <v/>
      </c>
      <c r="E123" s="234">
        <f t="shared" si="4"/>
        <v>39</v>
      </c>
      <c r="F123" s="208" t="str">
        <f t="shared" si="4"/>
        <v/>
      </c>
      <c r="G123" s="209" t="str">
        <f t="shared" si="4"/>
        <v/>
      </c>
      <c r="H123" s="204" t="str">
        <f t="shared" si="4"/>
        <v/>
      </c>
      <c r="I123" s="191"/>
    </row>
    <row r="124" spans="1:9" ht="12.75" customHeight="1">
      <c r="A124" s="210" t="str">
        <f t="shared" si="4"/>
        <v/>
      </c>
      <c r="B124" s="211" t="str">
        <f t="shared" si="4"/>
        <v>個</v>
      </c>
      <c r="C124" s="235" t="str">
        <f t="shared" si="4"/>
        <v/>
      </c>
      <c r="D124" s="140" t="str">
        <f t="shared" si="4"/>
        <v/>
      </c>
      <c r="E124" s="235">
        <f t="shared" si="4"/>
        <v>40</v>
      </c>
      <c r="F124" s="214" t="str">
        <f t="shared" si="4"/>
        <v/>
      </c>
      <c r="G124" s="215" t="str">
        <f t="shared" si="4"/>
        <v/>
      </c>
      <c r="H124" s="210" t="str">
        <f t="shared" si="4"/>
        <v/>
      </c>
      <c r="I124" s="191"/>
    </row>
    <row r="125" spans="1:9" ht="12.75" customHeight="1">
      <c r="A125" s="225" t="str">
        <f t="shared" ref="A125:H125" si="5">IF(A58="","",A58)</f>
        <v/>
      </c>
      <c r="B125" s="226" t="str">
        <f t="shared" si="5"/>
        <v>個</v>
      </c>
      <c r="C125" s="236" t="str">
        <f t="shared" si="5"/>
        <v/>
      </c>
      <c r="D125" s="141" t="str">
        <f t="shared" si="5"/>
        <v/>
      </c>
      <c r="E125" s="236">
        <f t="shared" si="5"/>
        <v>41</v>
      </c>
      <c r="F125" s="237" t="str">
        <f t="shared" si="5"/>
        <v/>
      </c>
      <c r="G125" s="230" t="str">
        <f t="shared" si="5"/>
        <v/>
      </c>
      <c r="H125" s="225" t="str">
        <f t="shared" si="5"/>
        <v/>
      </c>
      <c r="I125" s="191"/>
    </row>
    <row r="126" spans="1:9" ht="7.5" customHeight="1">
      <c r="A126" s="191"/>
      <c r="B126" s="191"/>
      <c r="C126" s="191"/>
      <c r="D126" s="191"/>
      <c r="E126" s="191"/>
      <c r="F126" s="191"/>
      <c r="G126" s="191"/>
      <c r="H126" s="192"/>
      <c r="I126" s="191"/>
    </row>
    <row r="127" spans="1:9" s="75" customFormat="1" ht="12.75" customHeight="1">
      <c r="A127" s="385" t="s">
        <v>406</v>
      </c>
      <c r="B127" s="385"/>
      <c r="C127" s="385"/>
      <c r="D127" s="385"/>
      <c r="E127" s="386">
        <f>E60</f>
        <v>43573</v>
      </c>
      <c r="F127" s="387"/>
      <c r="G127" s="238"/>
      <c r="H127" s="238"/>
      <c r="I127" s="238"/>
    </row>
    <row r="128" spans="1:9" s="75" customFormat="1" ht="12.75" customHeight="1">
      <c r="A128" s="258"/>
      <c r="B128" s="258"/>
      <c r="C128" s="258"/>
      <c r="D128" s="258"/>
      <c r="E128" s="239"/>
      <c r="F128" s="239"/>
      <c r="G128" s="238"/>
      <c r="H128" s="238"/>
      <c r="I128" s="238"/>
    </row>
    <row r="129" spans="1:9" s="75" customFormat="1" ht="12.75" customHeight="1">
      <c r="A129" s="258"/>
      <c r="B129" s="258"/>
      <c r="C129" s="258"/>
      <c r="D129" s="258"/>
      <c r="E129" s="238"/>
      <c r="F129" s="238"/>
      <c r="G129" s="238"/>
      <c r="H129" s="238"/>
      <c r="I129" s="238"/>
    </row>
    <row r="130" spans="1:9" s="75" customFormat="1" ht="12.75" customHeight="1">
      <c r="A130" s="239" t="s">
        <v>507</v>
      </c>
      <c r="B130" s="383" t="str">
        <f>B63</f>
        <v/>
      </c>
      <c r="C130" s="383"/>
      <c r="D130" s="383"/>
      <c r="E130" s="239" t="s">
        <v>199</v>
      </c>
      <c r="F130" s="249" t="str">
        <f>F63</f>
        <v xml:space="preserve">○　○　○　○　 </v>
      </c>
      <c r="G130" s="257" t="s">
        <v>511</v>
      </c>
      <c r="H130" s="238"/>
      <c r="I130" s="238"/>
    </row>
    <row r="131" spans="1:9" s="75" customFormat="1" ht="12.75" customHeight="1">
      <c r="A131" s="238"/>
      <c r="B131" s="238"/>
      <c r="C131" s="238"/>
      <c r="D131" s="238"/>
      <c r="E131" s="238"/>
      <c r="F131" s="238"/>
      <c r="G131" s="238"/>
      <c r="H131" s="240"/>
      <c r="I131" s="238"/>
    </row>
    <row r="132" spans="1:9" s="75" customFormat="1" ht="12.75" customHeight="1">
      <c r="A132" s="238"/>
      <c r="B132" s="238"/>
      <c r="C132" s="238"/>
      <c r="D132" s="238"/>
      <c r="E132" s="238"/>
      <c r="F132" s="238"/>
      <c r="G132" s="238"/>
      <c r="H132" s="240"/>
      <c r="I132" s="238"/>
    </row>
    <row r="133" spans="1:9" s="75" customFormat="1" ht="12.75" customHeight="1">
      <c r="A133" s="239" t="s">
        <v>510</v>
      </c>
      <c r="B133" s="383" t="str">
        <f>B66</f>
        <v/>
      </c>
      <c r="C133" s="383"/>
      <c r="D133" s="383"/>
      <c r="E133" s="239" t="s">
        <v>509</v>
      </c>
      <c r="F133" s="249" t="str">
        <f>F66</f>
        <v xml:space="preserve">○　○　○　○　 </v>
      </c>
      <c r="G133" s="257" t="s">
        <v>511</v>
      </c>
      <c r="H133" s="240"/>
      <c r="I133" s="238"/>
    </row>
    <row r="134" spans="1:9" s="75" customFormat="1" ht="7.5" customHeight="1">
      <c r="H134" s="74"/>
    </row>
  </sheetData>
  <sheetProtection password="CC71" sheet="1" objects="1" scenarios="1"/>
  <mergeCells count="45">
    <mergeCell ref="B130:D130"/>
    <mergeCell ref="B133:D133"/>
    <mergeCell ref="B76:C76"/>
    <mergeCell ref="D76:E76"/>
    <mergeCell ref="F76:G76"/>
    <mergeCell ref="B78:G78"/>
    <mergeCell ref="B91:G91"/>
    <mergeCell ref="A127:D127"/>
    <mergeCell ref="E127:F127"/>
    <mergeCell ref="B75:C75"/>
    <mergeCell ref="D75:E75"/>
    <mergeCell ref="F75:G75"/>
    <mergeCell ref="B63:D63"/>
    <mergeCell ref="B66:D66"/>
    <mergeCell ref="C69:G69"/>
    <mergeCell ref="B71:C71"/>
    <mergeCell ref="D71:F71"/>
    <mergeCell ref="G71:H71"/>
    <mergeCell ref="B73:C73"/>
    <mergeCell ref="D73:G73"/>
    <mergeCell ref="B74:C74"/>
    <mergeCell ref="D74:E74"/>
    <mergeCell ref="F74:G74"/>
    <mergeCell ref="A60:D60"/>
    <mergeCell ref="E60:F60"/>
    <mergeCell ref="B6:C6"/>
    <mergeCell ref="D6:G6"/>
    <mergeCell ref="B7:C7"/>
    <mergeCell ref="D7:E7"/>
    <mergeCell ref="F7:G7"/>
    <mergeCell ref="B8:C8"/>
    <mergeCell ref="D8:E8"/>
    <mergeCell ref="F8:G8"/>
    <mergeCell ref="B9:C9"/>
    <mergeCell ref="D9:E9"/>
    <mergeCell ref="F9:G9"/>
    <mergeCell ref="B11:G11"/>
    <mergeCell ref="B24:G24"/>
    <mergeCell ref="A2:A4"/>
    <mergeCell ref="C2:G2"/>
    <mergeCell ref="K2:K3"/>
    <mergeCell ref="L2:L3"/>
    <mergeCell ref="B4:C4"/>
    <mergeCell ref="D4:F4"/>
    <mergeCell ref="G4:H4"/>
  </mergeCells>
  <phoneticPr fontId="2"/>
  <dataValidations count="1">
    <dataValidation type="list" allowBlank="1" showInputMessage="1" showErrorMessage="1" errorTitle="個数エラー" error="0～2を入力" sqref="I4">
      <formula1>"0,1,2"</formula1>
    </dataValidation>
  </dataValidations>
  <hyperlinks>
    <hyperlink ref="F76:G76" r:id="rId1" display="gunkyumi@yahoo.co.jp"/>
  </hyperlinks>
  <printOptions horizontalCentered="1"/>
  <pageMargins left="0.39370078740157483" right="0.39370078740157483" top="0.39370078740157483" bottom="0.39370078740157483" header="0" footer="0"/>
  <pageSetup paperSize="9" orientation="portrait" horizontalDpi="4294967293"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7"/>
  </sheetPr>
  <dimension ref="A1:M40"/>
  <sheetViews>
    <sheetView zoomScale="70" zoomScaleNormal="70" workbookViewId="0">
      <selection sqref="A1:I1"/>
    </sheetView>
  </sheetViews>
  <sheetFormatPr defaultColWidth="9" defaultRowHeight="13.5"/>
  <cols>
    <col min="1" max="3" width="7" style="75" customWidth="1"/>
    <col min="4" max="4" width="16.75" style="75" customWidth="1"/>
    <col min="5" max="5" width="7" style="75" customWidth="1"/>
    <col min="6" max="6" width="26.25" style="75" customWidth="1"/>
    <col min="7" max="7" width="7" style="75" customWidth="1"/>
    <col min="8" max="8" width="7" style="74" customWidth="1"/>
    <col min="9" max="9" width="7" style="75" customWidth="1"/>
    <col min="10" max="10" width="1.5" style="75" customWidth="1"/>
    <col min="11" max="11" width="8.5" style="75" customWidth="1"/>
    <col min="12" max="16384" width="9" style="75"/>
  </cols>
  <sheetData>
    <row r="1" spans="1:13" ht="33.75" customHeight="1">
      <c r="A1" s="434" t="s">
        <v>249</v>
      </c>
      <c r="B1" s="434"/>
      <c r="C1" s="434"/>
      <c r="D1" s="434"/>
      <c r="E1" s="434"/>
      <c r="F1" s="434"/>
      <c r="G1" s="434"/>
      <c r="H1" s="434"/>
      <c r="I1" s="434"/>
    </row>
    <row r="2" spans="1:13" ht="26.25" customHeight="1">
      <c r="A2" s="435" t="s">
        <v>232</v>
      </c>
      <c r="B2" s="435"/>
      <c r="C2" s="435"/>
      <c r="D2" s="435"/>
      <c r="E2" s="435"/>
      <c r="F2" s="435"/>
      <c r="G2" s="435"/>
      <c r="H2" s="435"/>
      <c r="I2" s="435"/>
    </row>
    <row r="5" spans="1:13" ht="29.25" customHeight="1">
      <c r="A5" s="436">
        <v>1</v>
      </c>
      <c r="B5" s="436"/>
      <c r="C5" s="436"/>
      <c r="D5" s="438" t="str">
        <f>日!B1&amp;"群馬県高等学校総合体育大会"</f>
        <v>令和元年度群馬県高等学校総合体育大会</v>
      </c>
      <c r="E5" s="439"/>
      <c r="F5" s="439"/>
      <c r="G5" s="439"/>
      <c r="H5" s="439"/>
      <c r="I5" s="440"/>
    </row>
    <row r="6" spans="1:13" ht="13.5" customHeight="1">
      <c r="B6" s="74"/>
      <c r="C6" s="74"/>
      <c r="D6" s="90"/>
      <c r="E6" s="90"/>
      <c r="F6" s="90"/>
      <c r="G6" s="90"/>
      <c r="L6" s="260" t="s">
        <v>252</v>
      </c>
      <c r="M6" s="260" t="s">
        <v>251</v>
      </c>
    </row>
    <row r="7" spans="1:13" ht="29.25" customHeight="1">
      <c r="A7" s="436" t="s">
        <v>11</v>
      </c>
      <c r="B7" s="436"/>
      <c r="C7" s="436"/>
      <c r="D7" s="437" t="str">
        <f>IF(L8="","",IF(LENB(L8)+LENB(M8)&gt;=14,L8&amp;M8,IF(LENB(M8)=8,IF(LENB(L8)&lt;=6,IF(LENB(L8)=2,L8&amp;"　　",IF(LENB(L8)=4,LEFT(L8,1)&amp;"　"&amp;RIGHT(L8,1),L8)),L8),IF(LENB(L8)&lt;=6,IF(LENB(L8)=2,L8&amp;"　　　",IF(LENB(L8)=4,LEFT(L8,1)&amp;"　"&amp;RIGHT(L8,1)&amp;"　",L8&amp;"　")),L8)))&amp;IF(L8="","",IF(LENB(L8)+LENB(M8)&gt;=14,"",IF(LENB(M8)=2,"　　"&amp;M8,IF(LENB(M8)=4,LEFT(M8,1)&amp;"　"&amp;RIGHT(M8,1),M8)))))</f>
        <v>○　○　○　○</v>
      </c>
      <c r="E7" s="437"/>
      <c r="F7" s="437"/>
      <c r="G7" s="437"/>
      <c r="H7" s="260" t="s">
        <v>205</v>
      </c>
      <c r="I7" s="67">
        <v>0</v>
      </c>
      <c r="L7" s="62" t="s">
        <v>531</v>
      </c>
      <c r="M7" s="62" t="s">
        <v>531</v>
      </c>
    </row>
    <row r="8" spans="1:13">
      <c r="B8" s="433" t="s">
        <v>234</v>
      </c>
      <c r="C8" s="433"/>
      <c r="D8" s="433"/>
      <c r="E8" s="433"/>
      <c r="F8" s="433"/>
      <c r="G8" s="433"/>
      <c r="H8" s="433"/>
      <c r="I8" s="433"/>
      <c r="L8" s="73" t="str">
        <f>SUBSTITUTE(SUBSTITUTE(L7," ",""),"　","")</f>
        <v>○○</v>
      </c>
      <c r="M8" s="73" t="str">
        <f>SUBSTITUTE(SUBSTITUTE(M7," ",""),"　","")</f>
        <v>○○</v>
      </c>
    </row>
    <row r="9" spans="1:13">
      <c r="B9" s="433" t="s">
        <v>233</v>
      </c>
      <c r="C9" s="433"/>
      <c r="D9" s="433"/>
      <c r="E9" s="433"/>
      <c r="F9" s="433"/>
      <c r="G9" s="433"/>
      <c r="H9" s="433"/>
      <c r="I9" s="433"/>
    </row>
    <row r="10" spans="1:13">
      <c r="B10" s="433" t="s">
        <v>514</v>
      </c>
      <c r="C10" s="433"/>
      <c r="D10" s="433"/>
      <c r="E10" s="433"/>
      <c r="F10" s="433"/>
      <c r="G10" s="433"/>
      <c r="H10" s="433"/>
      <c r="I10" s="433"/>
    </row>
    <row r="11" spans="1:13">
      <c r="B11" s="433" t="s">
        <v>515</v>
      </c>
      <c r="C11" s="433"/>
      <c r="D11" s="433"/>
      <c r="E11" s="433"/>
      <c r="F11" s="433"/>
      <c r="G11" s="433"/>
      <c r="H11" s="433"/>
      <c r="I11" s="433"/>
      <c r="M11" s="264"/>
    </row>
    <row r="12" spans="1:13">
      <c r="B12" s="433" t="s">
        <v>516</v>
      </c>
      <c r="C12" s="433"/>
      <c r="D12" s="433"/>
      <c r="E12" s="433"/>
      <c r="F12" s="433"/>
      <c r="G12" s="433"/>
      <c r="H12" s="433"/>
      <c r="I12" s="433"/>
    </row>
    <row r="13" spans="1:13">
      <c r="B13" s="433" t="s">
        <v>517</v>
      </c>
      <c r="C13" s="433"/>
      <c r="D13" s="433"/>
      <c r="E13" s="433"/>
      <c r="F13" s="433"/>
      <c r="G13" s="433"/>
      <c r="H13" s="433"/>
      <c r="I13" s="433"/>
    </row>
    <row r="14" spans="1:13" ht="29.25" customHeight="1">
      <c r="B14" s="424" t="s">
        <v>235</v>
      </c>
      <c r="C14" s="425"/>
      <c r="D14" s="425"/>
      <c r="E14" s="425"/>
      <c r="F14" s="425"/>
      <c r="G14" s="425"/>
      <c r="H14" s="426"/>
    </row>
    <row r="15" spans="1:13" ht="18.75" customHeight="1">
      <c r="A15" s="260" t="s">
        <v>32</v>
      </c>
      <c r="B15" s="91" t="s">
        <v>18</v>
      </c>
      <c r="C15" s="92" t="s">
        <v>10</v>
      </c>
      <c r="D15" s="93" t="s">
        <v>33</v>
      </c>
      <c r="E15" s="94" t="s">
        <v>12</v>
      </c>
      <c r="F15" s="95" t="s">
        <v>13</v>
      </c>
      <c r="G15" s="92" t="s">
        <v>14</v>
      </c>
      <c r="H15" s="96" t="s">
        <v>236</v>
      </c>
      <c r="I15" s="73" t="s">
        <v>47</v>
      </c>
    </row>
    <row r="16" spans="1:13" ht="18.75" customHeight="1">
      <c r="A16" s="97" t="str">
        <f>IF($D$16="","",IF(COUNT($D$16:$D$19)=1,VLOOKUP(登!$D$1,立男!$A$4:$I$100,5,0)+100,VLOOKUP(登!$D$1,立男!$A$4:$I$100,5,0)))</f>
        <v/>
      </c>
      <c r="B16" s="98" t="s">
        <v>16</v>
      </c>
      <c r="C16" s="99" t="str">
        <f>IF(D16="","",登!$F$1)</f>
        <v/>
      </c>
      <c r="D16" s="36"/>
      <c r="E16" s="99">
        <v>1</v>
      </c>
      <c r="F16" s="100" t="str">
        <f>IF(D16="","",IF(INT(VALUE(RIGHT(D16,3))/100)=$A$5,VLOOKUP(D16,登!$B$4:$I$103,7,0),"部員番号入力ミス"))</f>
        <v/>
      </c>
      <c r="G16" s="101" t="str">
        <f>IF(D16="","",IF(INT(VALUE(RIGHT(D16,3))/100)=$A$5,IF(VLOOKUP(D16,登!$B$4:$I$103,2,0)=登!$B$1,1,IF(VLOOKUP(D16,登!$B$4:$I$103,2,0)=登!$B$1-1,2,IF(VLOOKUP(D16,登!$B$4:$I$103,2,0)=登!$B$1-2,3,"学年ミス"))),"番号ミス"))</f>
        <v/>
      </c>
      <c r="H16" s="102" t="str">
        <f>IF(D16="","",DATEDIF(VLOOKUP(D16,登!$B$4:$W$103,19,0),日!$F$4,"y"))</f>
        <v/>
      </c>
      <c r="I16" s="97" t="str">
        <f>IF(D16="","",IF(COUNTIF($D$16:$D$19,D16)+COUNTIF($D$28:$D$35,D16)&gt;1,"選手重複!!","OK"))</f>
        <v/>
      </c>
    </row>
    <row r="17" spans="1:9" ht="18.75" customHeight="1">
      <c r="A17" s="103" t="str">
        <f>IF($D$16="","",IF(COUNT($D$16:$D$19)=1,VLOOKUP(登!$D$1,立男!$A$4:$I$100,5,0)+100,VLOOKUP(登!$D$1,立男!$A$4:$I$100,5,0)))</f>
        <v/>
      </c>
      <c r="B17" s="104" t="s">
        <v>16</v>
      </c>
      <c r="C17" s="105" t="str">
        <f>IF(D17="","",登!$F$1)</f>
        <v/>
      </c>
      <c r="D17" s="37"/>
      <c r="E17" s="105">
        <v>2</v>
      </c>
      <c r="F17" s="106" t="str">
        <f>IF(D17="","",IF(COUNTIF($D$16:D17,"")&gt;0,"上から詰めて入力",IF(INT(VALUE(RIGHT(D17,3))/100)=$A$5,VLOOKUP(D17,登!$B$4:$I$103,7,0),"部員番号入力ミス")))</f>
        <v/>
      </c>
      <c r="G17" s="107" t="str">
        <f>IF(D17="","",IF(INT(VALUE(RIGHT(D17,3))/100)=$A$5,IF(VLOOKUP(D17,登!$B$4:$I$103,2,0)=登!$B$1,1,IF(VLOOKUP(D17,登!$B$4:$I$103,2,0)=登!$B$1-1,2,IF(VLOOKUP(D17,登!$B$4:$I$103,2,0)=登!$B$1-2,3,"学年ミス"))),"番号ミス"))</f>
        <v/>
      </c>
      <c r="H17" s="108" t="str">
        <f>IF(D17="","",DATEDIF(VLOOKUP(D17,登!$B$4:$W$103,19,0),日!$F$4,"y"))</f>
        <v/>
      </c>
      <c r="I17" s="103" t="str">
        <f>IF(D17="","",IF(COUNTIF($D$16:$D$19,D17)+COUNTIF($D$28:$D$35,D17)&gt;1,"選手重複!!","OK"))</f>
        <v/>
      </c>
    </row>
    <row r="18" spans="1:9" ht="18.75" customHeight="1">
      <c r="A18" s="103" t="str">
        <f>IF($D$16="","",IF(COUNT($D$16:$D$19)=1,VLOOKUP(登!$D$1,立男!$A$4:$I$100,5,0)+100,VLOOKUP(登!$D$1,立男!$A$4:$I$100,5,0)))</f>
        <v/>
      </c>
      <c r="B18" s="104" t="s">
        <v>16</v>
      </c>
      <c r="C18" s="105" t="str">
        <f>IF(D18="","",登!$F$1)</f>
        <v/>
      </c>
      <c r="D18" s="37"/>
      <c r="E18" s="105">
        <v>3</v>
      </c>
      <c r="F18" s="106" t="str">
        <f>IF(D18="","",IF(COUNTIF($D$16:D18,"")&gt;0,"上から詰めて入力",IF(INT(VALUE(RIGHT(D18,3))/100)=$A$5,VLOOKUP(D18,登!$B$4:$I$103,7,0),"部員番号入力ミス")))</f>
        <v/>
      </c>
      <c r="G18" s="107" t="str">
        <f>IF(D18="","",IF(INT(VALUE(RIGHT(D18,3))/100)=$A$5,IF(VLOOKUP(D18,登!$B$4:$I$103,2,0)=登!$B$1,1,IF(VLOOKUP(D18,登!$B$4:$I$103,2,0)=登!$B$1-1,2,IF(VLOOKUP(D18,登!$B$4:$I$103,2,0)=登!$B$1-2,3,"学年ミス"))),"番号ミス"))</f>
        <v/>
      </c>
      <c r="H18" s="108" t="str">
        <f>IF(D18="","",DATEDIF(VLOOKUP(D18,登!$B$4:$W$103,19,0),日!$F$4,"y"))</f>
        <v/>
      </c>
      <c r="I18" s="103" t="str">
        <f>IF(D18="","",IF(COUNTIF($D$16:$D$19,D18)+COUNTIF($D$28:$D$35,D18)&gt;1,"選手重複!!","OK"))</f>
        <v/>
      </c>
    </row>
    <row r="19" spans="1:9" ht="18.75" customHeight="1">
      <c r="A19" s="109" t="str">
        <f>IF($D$16="","",IF(COUNT($D$16:$D$19)=1,VLOOKUP(登!$D$1,立男!$A$4:$I$100,5,0)+100,VLOOKUP(登!$D$1,立男!$A$4:$I$100,5,0)))</f>
        <v/>
      </c>
      <c r="B19" s="110" t="s">
        <v>16</v>
      </c>
      <c r="C19" s="111" t="str">
        <f>IF(D19="","",登!$F$1)</f>
        <v/>
      </c>
      <c r="D19" s="38"/>
      <c r="E19" s="112">
        <v>4</v>
      </c>
      <c r="F19" s="113" t="str">
        <f>IF(D19="","",IF(COUNTIF($D$16:D19,"")&gt;0,"上から詰めて入力",IF(INT(VALUE(RIGHT(D19,3))/100)=$A$5,VLOOKUP(D19,登!$B$4:$I$103,7,0),"部員番号入力ミス")))</f>
        <v/>
      </c>
      <c r="G19" s="111" t="str">
        <f>IF(D19="","",IF(INT(VALUE(RIGHT(D19,3))/100)=$A$5,IF(VLOOKUP(D19,登!$B$4:$I$103,2,0)=登!$B$1,1,IF(VLOOKUP(D19,登!$B$4:$I$103,2,0)=登!$B$1-1,2,IF(VLOOKUP(D19,登!$B$4:$I$103,2,0)=登!$B$1-2,3,"学年ミス"))),"番号ミス"))</f>
        <v/>
      </c>
      <c r="H19" s="114" t="str">
        <f>IF(D19="","",DATEDIF(VLOOKUP(D19,登!$B$4:$W$103,19,0),日!$F$4,"y"))</f>
        <v/>
      </c>
      <c r="I19" s="115" t="str">
        <f>IF(D19="","",IF(COUNTIF($D$16:$D$19,D19)+COUNTIF($D$28:$D$35,D19)&gt;1,"選手重複!!","OK"))</f>
        <v/>
      </c>
    </row>
    <row r="20" spans="1:9">
      <c r="B20" s="116" t="s">
        <v>237</v>
      </c>
      <c r="C20" s="117"/>
      <c r="D20" s="117"/>
      <c r="E20" s="117"/>
      <c r="F20" s="117"/>
      <c r="G20" s="117"/>
      <c r="I20" s="74"/>
    </row>
    <row r="21" spans="1:9">
      <c r="B21" s="264"/>
      <c r="I21" s="74"/>
    </row>
    <row r="22" spans="1:9" ht="29.25" customHeight="1">
      <c r="B22" s="424" t="s">
        <v>238</v>
      </c>
      <c r="C22" s="425"/>
      <c r="D22" s="425"/>
      <c r="E22" s="425"/>
      <c r="F22" s="425"/>
      <c r="G22" s="425"/>
      <c r="H22" s="426"/>
      <c r="I22" s="74"/>
    </row>
    <row r="23" spans="1:9" ht="18.75" customHeight="1">
      <c r="A23" s="260" t="s">
        <v>32</v>
      </c>
      <c r="B23" s="91" t="s">
        <v>18</v>
      </c>
      <c r="C23" s="95" t="s">
        <v>10</v>
      </c>
      <c r="D23" s="93" t="s">
        <v>33</v>
      </c>
      <c r="E23" s="95" t="s">
        <v>12</v>
      </c>
      <c r="F23" s="95" t="s">
        <v>13</v>
      </c>
      <c r="G23" s="92" t="s">
        <v>14</v>
      </c>
      <c r="H23" s="96" t="s">
        <v>236</v>
      </c>
      <c r="I23" s="260" t="s">
        <v>47</v>
      </c>
    </row>
    <row r="24" spans="1:9" ht="18.75" customHeight="1">
      <c r="A24" s="97" t="str">
        <f>A16</f>
        <v/>
      </c>
      <c r="B24" s="98" t="s">
        <v>21</v>
      </c>
      <c r="C24" s="99" t="str">
        <f>IF(D24="","",登!$F$1)</f>
        <v/>
      </c>
      <c r="D24" s="118" t="str">
        <f>IF(D16="","",D16)</f>
        <v/>
      </c>
      <c r="E24" s="99">
        <v>1</v>
      </c>
      <c r="F24" s="100" t="str">
        <f t="shared" ref="F24:H27" si="0">IF(F16="","",F16)</f>
        <v/>
      </c>
      <c r="G24" s="101" t="str">
        <f t="shared" si="0"/>
        <v/>
      </c>
      <c r="H24" s="119" t="str">
        <f t="shared" si="0"/>
        <v/>
      </c>
      <c r="I24" s="120"/>
    </row>
    <row r="25" spans="1:9" ht="18.75" customHeight="1">
      <c r="A25" s="103" t="str">
        <f>A17</f>
        <v/>
      </c>
      <c r="B25" s="104" t="s">
        <v>21</v>
      </c>
      <c r="C25" s="105" t="str">
        <f>IF(D25="","",登!$F$1)</f>
        <v/>
      </c>
      <c r="D25" s="121" t="str">
        <f>IF(D17="","",D17)</f>
        <v/>
      </c>
      <c r="E25" s="105">
        <v>2</v>
      </c>
      <c r="F25" s="106" t="str">
        <f t="shared" si="0"/>
        <v/>
      </c>
      <c r="G25" s="107" t="str">
        <f t="shared" si="0"/>
        <v/>
      </c>
      <c r="H25" s="108" t="str">
        <f t="shared" si="0"/>
        <v/>
      </c>
      <c r="I25" s="122"/>
    </row>
    <row r="26" spans="1:9" ht="18.75" customHeight="1">
      <c r="A26" s="103" t="str">
        <f>A18</f>
        <v/>
      </c>
      <c r="B26" s="104" t="s">
        <v>21</v>
      </c>
      <c r="C26" s="105" t="str">
        <f>IF(D26="","",登!$F$1)</f>
        <v/>
      </c>
      <c r="D26" s="121" t="str">
        <f>IF(D18="","",D18)</f>
        <v/>
      </c>
      <c r="E26" s="105">
        <v>3</v>
      </c>
      <c r="F26" s="106" t="str">
        <f t="shared" si="0"/>
        <v/>
      </c>
      <c r="G26" s="107" t="str">
        <f t="shared" si="0"/>
        <v/>
      </c>
      <c r="H26" s="108" t="str">
        <f t="shared" si="0"/>
        <v/>
      </c>
      <c r="I26" s="122"/>
    </row>
    <row r="27" spans="1:9" ht="18.75" customHeight="1">
      <c r="A27" s="123" t="str">
        <f>IF(D27="","",VLOOKUP(登!$D$1,立男!$A$4:$I$100,5,0)+200)</f>
        <v/>
      </c>
      <c r="B27" s="124" t="s">
        <v>21</v>
      </c>
      <c r="C27" s="111" t="str">
        <f>IF(D27="","",登!$F$1)</f>
        <v/>
      </c>
      <c r="D27" s="125" t="str">
        <f>IF(D19="","",D19)</f>
        <v/>
      </c>
      <c r="E27" s="126">
        <v>4</v>
      </c>
      <c r="F27" s="127" t="str">
        <f t="shared" si="0"/>
        <v/>
      </c>
      <c r="G27" s="126" t="str">
        <f t="shared" si="0"/>
        <v/>
      </c>
      <c r="H27" s="128" t="str">
        <f t="shared" si="0"/>
        <v/>
      </c>
      <c r="I27" s="129"/>
    </row>
    <row r="28" spans="1:9" ht="18.75" customHeight="1">
      <c r="A28" s="97" t="str">
        <f>IF(D28="","",IF(COUNT($D$28:$D$30)=3,VLOOKUP(登!$D$1,立男!$A$4:$I$100,5,0)+1000,IF(COUNT($D$28:$D$30)=2,VLOOKUP(登!$D$1,立男!$A$4:$I$100,5,0)+1100,VLOOKUP(登!$D$1,立男!$A$4:$I$100,5,0)+1200)))</f>
        <v/>
      </c>
      <c r="B28" s="98" t="s">
        <v>21</v>
      </c>
      <c r="C28" s="99" t="str">
        <f>IF(D28="","",登!$F$1)</f>
        <v/>
      </c>
      <c r="D28" s="39"/>
      <c r="E28" s="99">
        <v>5</v>
      </c>
      <c r="F28" s="100" t="str">
        <f>IF(D28="","",IF(COUNTIF($D$16:$D$19,"")&gt;0,"団体から入力",IF(INT(VALUE(RIGHT(D28,3))/100)=$A$5,VLOOKUP(D28,登!$B$4:$I$103,7,0),"部員番号入力ミス")))</f>
        <v/>
      </c>
      <c r="G28" s="101" t="str">
        <f>IF(D28="","",IF(INT(VALUE(RIGHT(D28,3))/100)=$A$5,IF(VLOOKUP(D28,登!$B$4:$I$103,2,0)=登!$B$1,1,IF(VLOOKUP(D28,登!$B$4:$I$103,2,0)=登!$B$1-1,2,IF(VLOOKUP(D28,登!$B$4:$I$103,2,0)=登!$B$1-2,3,"学年ミス"))),"番号ミス"))</f>
        <v/>
      </c>
      <c r="H28" s="102" t="str">
        <f>IF(D28="","",DATEDIF(VLOOKUP(D28,登!$B$4:$W$103,19,0),日!$F$4,"y"))</f>
        <v/>
      </c>
      <c r="I28" s="97" t="str">
        <f>IF(D28="","",IF(COUNTIF($D$16:$D$19,D28)+COUNTIF($D$28:$D$35,D28)&gt;1,"選手重複!!","OK"))</f>
        <v/>
      </c>
    </row>
    <row r="29" spans="1:9" ht="18.75" customHeight="1">
      <c r="A29" s="103" t="str">
        <f>IF(D29="","",IF(COUNT($D$28:$D$30)=3,VLOOKUP(登!$D$1,立男!$A$4:$I$100,5,0)+1000,IF(COUNT($D$28:$D$30)=2,VLOOKUP(登!$D$1,立男!$A$4:$I$100,5,0)+1100,VLOOKUP(登!$D$1,立男!$A$4:$I$100,5,0)+1200)))</f>
        <v/>
      </c>
      <c r="B29" s="104" t="s">
        <v>21</v>
      </c>
      <c r="C29" s="105" t="str">
        <f>IF(D29="","",登!$F$1)</f>
        <v/>
      </c>
      <c r="D29" s="37"/>
      <c r="E29" s="105">
        <v>6</v>
      </c>
      <c r="F29" s="106" t="str">
        <f>IF(D29="","",IF(COUNTIF($D$16:$D$19,"")&gt;0,"団体から入力",IF(COUNTIF($D$28:D29,"")&gt;0,"上から詰めて入力",IF(INT(VALUE(RIGHT(D29,3))/100)=$A$5,VLOOKUP(D29,登!$B$4:$I$103,7,0),"部員番号入力ミス"))))</f>
        <v/>
      </c>
      <c r="G29" s="105" t="str">
        <f>IF(D29="","",IF(INT(VALUE(RIGHT(D29,3))/100)=$A$5,IF(VLOOKUP(D29,登!$B$4:$I$103,2,0)=登!$B$1,1,IF(VLOOKUP(D29,登!$B$4:$I$103,2,0)=登!$B$1-1,2,IF(VLOOKUP(D29,登!$B$4:$I$103,2,0)=登!$B$1-2,3,"学年ミス"))),"番号ミス"))</f>
        <v/>
      </c>
      <c r="H29" s="130" t="str">
        <f>IF(D29="","",DATEDIF(VLOOKUP(D29,登!$B$4:$W$103,19,0),日!$F$4,"y"))</f>
        <v/>
      </c>
      <c r="I29" s="130" t="str">
        <f t="shared" ref="I29:I35" si="1">IF(D29="","",IF(COUNTIF($D$16:$D$19,D29)+COUNTIF($D$28:$D$35,D29)&gt;1,"選手重複!!","OK"))</f>
        <v/>
      </c>
    </row>
    <row r="30" spans="1:9" ht="18.75" customHeight="1">
      <c r="A30" s="115" t="str">
        <f>IF(D30="","",IF(COUNT($D$28:$D$30)=3,VLOOKUP(登!$D$1,立男!$A$4:$I$100,5,0)+1000,IF(COUNT($D$28:$D$30)=2,VLOOKUP(登!$D$1,立男!$A$4:$I$100,5,0)+1100,VLOOKUP(登!$D$1,立男!$A$4:$I$100,5,0)+1200)))</f>
        <v/>
      </c>
      <c r="B30" s="131" t="s">
        <v>21</v>
      </c>
      <c r="C30" s="132" t="str">
        <f>IF(D30="","",登!$F$1)</f>
        <v/>
      </c>
      <c r="D30" s="38"/>
      <c r="E30" s="132">
        <v>7</v>
      </c>
      <c r="F30" s="133" t="str">
        <f>IF(D30="","",IF(COUNTIF($D$16:$D$19,"")&gt;0,"団体から入力",IF(COUNTIF($D$28:D30,"")&gt;0,"上から詰めて入力",IF(INT(VALUE(RIGHT(D30,3))/100)=$A$5,VLOOKUP(D30,登!$B$4:$I$103,7,0),"部員番号入力ミス"))))</f>
        <v/>
      </c>
      <c r="G30" s="132" t="str">
        <f>IF(D30="","",IF(INT(VALUE(RIGHT(D30,3))/100)=$A$5,IF(VLOOKUP(D30,登!$B$4:$I$103,2,0)=登!$B$1,1,IF(VLOOKUP(D30,登!$B$4:$I$103,2,0)=登!$B$1-1,2,IF(VLOOKUP(D30,登!$B$4:$I$103,2,0)=登!$B$1-2,3,"学年ミス"))),"番号ミス"))</f>
        <v/>
      </c>
      <c r="H30" s="134" t="str">
        <f>IF(D30="","",DATEDIF(VLOOKUP(D30,登!$B$4:$W$103,19,0),日!$F$4,"y"))</f>
        <v/>
      </c>
      <c r="I30" s="134" t="str">
        <f t="shared" si="1"/>
        <v/>
      </c>
    </row>
    <row r="31" spans="1:9" ht="18.75" customHeight="1">
      <c r="A31" s="97" t="str">
        <f>IF(D31="","",IF(COUNT($D$31:$D$33)=3,VLOOKUP(登!$D$1,立男!$A$4:$I$100,5,0)+2000,IF(COUNT($D$31:$D$33)=2,VLOOKUP(登!$D$1,立男!$A$4:$I$100,5,0)+2100,VLOOKUP(登!$D$1,立男!$A$4:$I$100,5,0)+2200)))</f>
        <v/>
      </c>
      <c r="B31" s="98" t="s">
        <v>21</v>
      </c>
      <c r="C31" s="99" t="str">
        <f>IF(D31="","",登!$F$1)</f>
        <v/>
      </c>
      <c r="D31" s="36"/>
      <c r="E31" s="99">
        <v>8</v>
      </c>
      <c r="F31" s="100" t="str">
        <f>IF(D31="","",IF(COUNTIF($D$16:$D$19,"")&gt;0,"団体から入力",IF(COUNTIF($D$28:D31,"")&gt;0,"上から詰めて入力",IF(INT(VALUE(RIGHT(D31,3))/100)=$A$5,VLOOKUP(D31,登!$B$4:$I$103,7,0),"部員番号入力ミス"))))</f>
        <v/>
      </c>
      <c r="G31" s="99" t="str">
        <f>IF(D31="","",IF(INT(VALUE(RIGHT(D31,3))/100)=$A$5,IF(VLOOKUP(D31,登!$B$4:$I$103,2,0)=登!$B$1,1,IF(VLOOKUP(D31,登!$B$4:$I$103,2,0)=登!$B$1-1,2,IF(VLOOKUP(D31,登!$B$4:$I$103,2,0)=登!$B$1-2,3,"学年ミス"))),"番号ミス"))</f>
        <v/>
      </c>
      <c r="H31" s="135" t="str">
        <f>IF(D31="","",DATEDIF(VLOOKUP(D31,登!$B$4:$W$103,19,0),日!$F$4,"y"))</f>
        <v/>
      </c>
      <c r="I31" s="135" t="str">
        <f t="shared" si="1"/>
        <v/>
      </c>
    </row>
    <row r="32" spans="1:9" ht="18.75" customHeight="1">
      <c r="A32" s="103" t="str">
        <f>IF(D32="","",IF(COUNT($D$31:$D$33)=3,VLOOKUP(登!$D$1,立男!$A$4:$I$100,5,0)+2000,IF(COUNT($D$31:$D$33)=2,VLOOKUP(登!$D$1,立男!$A$4:$I$100,5,0)+2100,VLOOKUP(登!$D$1,立男!$A$4:$I$100,5,0)+2200)))</f>
        <v/>
      </c>
      <c r="B32" s="104" t="s">
        <v>21</v>
      </c>
      <c r="C32" s="105" t="str">
        <f>IF(D32="","",登!$F$1)</f>
        <v/>
      </c>
      <c r="D32" s="37"/>
      <c r="E32" s="105">
        <v>9</v>
      </c>
      <c r="F32" s="106" t="str">
        <f>IF(D32="","",IF(COUNTIF($D$16:$D$19,"")&gt;0,"団体から入力",IF(COUNTIF($D$28:D32,"")&gt;0,"上から詰めて入力",IF(INT(VALUE(RIGHT(D32,3))/100)=$A$5,VLOOKUP(D32,登!$B$4:$I$103,7,0),"部員番号入力ミス"))))</f>
        <v/>
      </c>
      <c r="G32" s="105" t="str">
        <f>IF(D32="","",IF(INT(VALUE(RIGHT(D32,3))/100)=$A$5,IF(VLOOKUP(D32,登!$B$4:$I$103,2,0)=登!$B$1,1,IF(VLOOKUP(D32,登!$B$4:$I$103,2,0)=登!$B$1-1,2,IF(VLOOKUP(D32,登!$B$4:$I$103,2,0)=登!$B$1-2,3,"学年ミス"))),"番号ミス"))</f>
        <v/>
      </c>
      <c r="H32" s="130" t="str">
        <f>IF(D32="","",DATEDIF(VLOOKUP(D32,登!$B$4:$W$103,19,0),日!$F$4,"y"))</f>
        <v/>
      </c>
      <c r="I32" s="130" t="str">
        <f>IF(D32="","",IF(COUNTIF($D$16:$D$19,D32)+COUNTIF($D$28:$D$35,D32)&gt;1,"選手重複!!","OK"))</f>
        <v/>
      </c>
    </row>
    <row r="33" spans="1:12" ht="18.75" customHeight="1">
      <c r="A33" s="115" t="str">
        <f>IF(D33="","",IF(COUNT($D$31:$D$33)=3,VLOOKUP(登!$D$1,立男!$A$4:$I$100,5,0)+2000,IF(COUNT($D$31:$D$33)=2,VLOOKUP(登!$D$1,立男!$A$4:$I$100,5,0)+2100,VLOOKUP(登!$D$1,立男!$A$4:$I$100,5,0)+2200)))</f>
        <v/>
      </c>
      <c r="B33" s="131" t="s">
        <v>21</v>
      </c>
      <c r="C33" s="132" t="str">
        <f>IF(D33="","",登!$F$1)</f>
        <v/>
      </c>
      <c r="D33" s="38"/>
      <c r="E33" s="132">
        <v>10</v>
      </c>
      <c r="F33" s="133" t="str">
        <f>IF(D33="","",IF(COUNTIF($D$16:$D$19,"")&gt;0,"団体から入力",IF(COUNTIF($D$28:D33,"")&gt;0,"上から詰めて入力",IF(INT(VALUE(RIGHT(D33,3))/100)=$A$5,VLOOKUP(D33,登!$B$4:$I$103,7,0),"部員番号入力ミス"))))</f>
        <v/>
      </c>
      <c r="G33" s="132" t="str">
        <f>IF(D33="","",IF(INT(VALUE(RIGHT(D33,3))/100)=$A$5,IF(VLOOKUP(D33,登!$B$4:$I$103,2,0)=登!$B$1,1,IF(VLOOKUP(D33,登!$B$4:$I$103,2,0)=登!$B$1-1,2,IF(VLOOKUP(D33,登!$B$4:$I$103,2,0)=登!$B$1-2,3,"学年ミス"))),"番号ミス"))</f>
        <v/>
      </c>
      <c r="H33" s="134" t="str">
        <f>IF(D33="","",DATEDIF(VLOOKUP(D33,登!$B$4:$W$103,19,0),日!$F$4,"y"))</f>
        <v/>
      </c>
      <c r="I33" s="134" t="str">
        <f t="shared" si="1"/>
        <v/>
      </c>
    </row>
    <row r="34" spans="1:12" ht="18.75" customHeight="1">
      <c r="A34" s="136" t="str">
        <f>IF(D34="","",IF(COUNT($D$34:$D$35)=2,VLOOKUP(登!$D$1,立男!$A$4:$I$100,5,0)+3000,VLOOKUP(登!$D$1,立男!$A$4:$I$100,5,0)+3100))</f>
        <v/>
      </c>
      <c r="B34" s="110" t="s">
        <v>21</v>
      </c>
      <c r="C34" s="112" t="str">
        <f>IF(D34="","",登!$F$1)</f>
        <v/>
      </c>
      <c r="D34" s="39"/>
      <c r="E34" s="112">
        <v>11</v>
      </c>
      <c r="F34" s="113" t="str">
        <f>IF(D34="","",IF(COUNTIF($D$16:$D$19,"")&gt;0,"団体から入力",IF(COUNTIF($D$28:D34,"")&gt;0,"上から詰めて入力",IF(INT(VALUE(RIGHT(D34,3))/100)=$A$5,VLOOKUP(D34,登!$B$4:$I$103,7,0),"部員番号入力ミス"))))</f>
        <v/>
      </c>
      <c r="G34" s="112" t="str">
        <f>IF(D34="","",IF(INT(VALUE(RIGHT(D34,3))/100)=$A$5,IF(VLOOKUP(D34,登!$B$4:$I$103,2,0)=登!$B$1,1,IF(VLOOKUP(D34,登!$B$4:$I$103,2,0)=登!$B$1-1,2,IF(VLOOKUP(D34,登!$B$4:$I$103,2,0)=登!$B$1-2,3,"学年ミス"))),"番号ミス"))</f>
        <v/>
      </c>
      <c r="H34" s="137" t="str">
        <f>IF(D34="","",DATEDIF(VLOOKUP(D34,登!$B$4:$W$103,19,0),日!$F$4,"y"))</f>
        <v/>
      </c>
      <c r="I34" s="137" t="str">
        <f t="shared" si="1"/>
        <v/>
      </c>
    </row>
    <row r="35" spans="1:12" ht="18.75" customHeight="1">
      <c r="A35" s="115" t="str">
        <f>IF(D35="","",IF(COUNT($D$34:$D$35)=2,VLOOKUP(登!$D$1,立男!$A$4:$I$100,5,0)+3000,VLOOKUP(登!$D$1,立男!$A$4:$I$100,5,0)+3100))</f>
        <v/>
      </c>
      <c r="B35" s="131" t="s">
        <v>21</v>
      </c>
      <c r="C35" s="132" t="str">
        <f>IF(D35="","",登!$F$1)</f>
        <v/>
      </c>
      <c r="D35" s="38"/>
      <c r="E35" s="132">
        <v>12</v>
      </c>
      <c r="F35" s="133" t="str">
        <f>IF(D35="","",IF(COUNTIF($D$16:$D$19,"")&gt;0,"団体から入力",IF(COUNTIF($D$28:D35,"")&gt;0,"上から詰めて入力",IF(INT(VALUE(RIGHT(D35,3))/100)=$A$5,VLOOKUP(D35,登!$B$4:$I$103,7,0),"部員番号入力ミス"))))</f>
        <v/>
      </c>
      <c r="G35" s="132" t="str">
        <f>IF(D35="","",IF(INT(VALUE(RIGHT(D35,3))/100)=$A$5,IF(VLOOKUP(D35,登!$B$4:$I$103,2,0)=登!$B$1,1,IF(VLOOKUP(D35,登!$B$4:$I$103,2,0)=登!$B$1-1,2,IF(VLOOKUP(D35,登!$B$4:$I$103,2,0)=登!$B$1-2,3,"学年ミス"))),"番号ミス"))</f>
        <v/>
      </c>
      <c r="H35" s="134" t="str">
        <f>IF(D35="","",DATEDIF(VLOOKUP(D35,登!$B$4:$W$103,19,0),日!$F$4,"y"))</f>
        <v/>
      </c>
      <c r="I35" s="134" t="str">
        <f t="shared" si="1"/>
        <v/>
      </c>
      <c r="L35" s="264"/>
    </row>
    <row r="36" spans="1:12">
      <c r="B36" s="116" t="s">
        <v>239</v>
      </c>
    </row>
    <row r="39" spans="1:12" ht="18.75" customHeight="1">
      <c r="A39" s="443" t="s">
        <v>240</v>
      </c>
      <c r="B39" s="444"/>
      <c r="C39" s="445"/>
      <c r="D39" s="443" t="s">
        <v>241</v>
      </c>
      <c r="E39" s="445"/>
      <c r="F39" s="443" t="s">
        <v>242</v>
      </c>
      <c r="G39" s="444"/>
      <c r="H39" s="445"/>
    </row>
    <row r="40" spans="1:12" ht="27" customHeight="1">
      <c r="A40" s="441"/>
      <c r="B40" s="442"/>
      <c r="C40" s="263" t="s">
        <v>243</v>
      </c>
      <c r="D40" s="436" t="str">
        <f>IF(COUNT($D$24:$D$35)=0,"　　　名",COUNT(D24:D35)&amp;"　名")</f>
        <v>　　　名</v>
      </c>
      <c r="E40" s="436"/>
      <c r="F40" s="259" t="s">
        <v>321</v>
      </c>
      <c r="G40" s="441" t="s">
        <v>322</v>
      </c>
      <c r="H40" s="441"/>
    </row>
  </sheetData>
  <sheetProtection password="CC71" sheet="1" objects="1" scenarios="1"/>
  <mergeCells count="20">
    <mergeCell ref="A40:B40"/>
    <mergeCell ref="D40:E40"/>
    <mergeCell ref="G40:H40"/>
    <mergeCell ref="B14:H14"/>
    <mergeCell ref="B22:H22"/>
    <mergeCell ref="A39:C39"/>
    <mergeCell ref="D39:E39"/>
    <mergeCell ref="F39:H39"/>
    <mergeCell ref="B13:I13"/>
    <mergeCell ref="A1:I1"/>
    <mergeCell ref="A2:I2"/>
    <mergeCell ref="A5:C5"/>
    <mergeCell ref="A7:C7"/>
    <mergeCell ref="D7:G7"/>
    <mergeCell ref="D5:I5"/>
    <mergeCell ref="B8:I8"/>
    <mergeCell ref="B9:I9"/>
    <mergeCell ref="B10:I10"/>
    <mergeCell ref="B11:I11"/>
    <mergeCell ref="B12:I12"/>
  </mergeCells>
  <phoneticPr fontId="2"/>
  <dataValidations count="1">
    <dataValidation type="list" allowBlank="1" showInputMessage="1" showErrorMessage="1" errorTitle="個数エラー" error="0～2を入力" sqref="I7">
      <formula1>"0,1,2"</formula1>
    </dataValidation>
  </dataValidations>
  <printOptions horizontalCentered="1"/>
  <pageMargins left="0.59055118110236227" right="0.59055118110236227" top="0.59055118110236227" bottom="0.59055118110236227" header="0.39370078740157483" footer="0.39370078740157483"/>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25</vt:i4>
      </vt:variant>
    </vt:vector>
  </HeadingPairs>
  <TitlesOfParts>
    <vt:vector size="56" baseType="lpstr">
      <vt:lpstr>説</vt:lpstr>
      <vt:lpstr>名</vt:lpstr>
      <vt:lpstr>立男</vt:lpstr>
      <vt:lpstr>立女</vt:lpstr>
      <vt:lpstr>日</vt:lpstr>
      <vt:lpstr>登</vt:lpstr>
      <vt:lpstr>春男</vt:lpstr>
      <vt:lpstr>春女</vt:lpstr>
      <vt:lpstr>総男</vt:lpstr>
      <vt:lpstr>総女</vt:lpstr>
      <vt:lpstr>ｲﾝ男</vt:lpstr>
      <vt:lpstr>ｲﾝ女</vt:lpstr>
      <vt:lpstr>遠男</vt:lpstr>
      <vt:lpstr>遠女</vt:lpstr>
      <vt:lpstr>個男</vt:lpstr>
      <vt:lpstr>個女</vt:lpstr>
      <vt:lpstr>地男</vt:lpstr>
      <vt:lpstr>地女</vt:lpstr>
      <vt:lpstr>西男</vt:lpstr>
      <vt:lpstr>西女</vt:lpstr>
      <vt:lpstr>新男</vt:lpstr>
      <vt:lpstr>新女</vt:lpstr>
      <vt:lpstr>東男</vt:lpstr>
      <vt:lpstr>東女</vt:lpstr>
      <vt:lpstr>→強</vt:lpstr>
      <vt:lpstr>1</vt:lpstr>
      <vt:lpstr>近</vt:lpstr>
      <vt:lpstr>春</vt:lpstr>
      <vt:lpstr>育</vt:lpstr>
      <vt:lpstr>別</vt:lpstr>
      <vt:lpstr>申</vt:lpstr>
      <vt:lpstr>'1'!Print_Area</vt:lpstr>
      <vt:lpstr>ｲﾝ女!Print_Area</vt:lpstr>
      <vt:lpstr>ｲﾝ男!Print_Area</vt:lpstr>
      <vt:lpstr>育!Print_Area</vt:lpstr>
      <vt:lpstr>遠女!Print_Area</vt:lpstr>
      <vt:lpstr>遠男!Print_Area</vt:lpstr>
      <vt:lpstr>近!Print_Area</vt:lpstr>
      <vt:lpstr>個女!Print_Area</vt:lpstr>
      <vt:lpstr>個男!Print_Area</vt:lpstr>
      <vt:lpstr>春!Print_Area</vt:lpstr>
      <vt:lpstr>春女!Print_Area</vt:lpstr>
      <vt:lpstr>春男!Print_Area</vt:lpstr>
      <vt:lpstr>新女!Print_Area</vt:lpstr>
      <vt:lpstr>新男!Print_Area</vt:lpstr>
      <vt:lpstr>申!Print_Area</vt:lpstr>
      <vt:lpstr>西女!Print_Area</vt:lpstr>
      <vt:lpstr>西男!Print_Area</vt:lpstr>
      <vt:lpstr>総女!Print_Area</vt:lpstr>
      <vt:lpstr>総男!Print_Area</vt:lpstr>
      <vt:lpstr>地女!Print_Area</vt:lpstr>
      <vt:lpstr>地男!Print_Area</vt:lpstr>
      <vt:lpstr>東女!Print_Area</vt:lpstr>
      <vt:lpstr>東男!Print_Area</vt:lpstr>
      <vt:lpstr>別!Print_Area</vt:lpstr>
      <vt:lpstr>登!Print_Titles</vt:lpstr>
    </vt:vector>
  </TitlesOfParts>
  <Company>群馬県高体連弓道専門部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髙橋将</dc:creator>
  <cp:lastModifiedBy>user</cp:lastModifiedBy>
  <cp:lastPrinted>2019-04-15T10:14:21Z</cp:lastPrinted>
  <dcterms:created xsi:type="dcterms:W3CDTF">2008-04-15T04:32:14Z</dcterms:created>
  <dcterms:modified xsi:type="dcterms:W3CDTF">2019-04-15T10:19:38Z</dcterms:modified>
</cp:coreProperties>
</file>